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STATISTIK DISBUN\ATAP 2024\"/>
    </mc:Choice>
  </mc:AlternateContent>
  <bookViews>
    <workbookView xWindow="0" yWindow="0" windowWidth="20490" windowHeight="7650" activeTab="2"/>
  </bookViews>
  <sheets>
    <sheet name="PERKECAMATAN 2024" sheetId="3" r:id="rId1"/>
    <sheet name="PERKOMODITI 2024" sheetId="1" r:id="rId2"/>
    <sheet name="REKAP ATAP 2024" sheetId="23" r:id="rId3"/>
    <sheet name="LA Perbulan" sheetId="13" r:id="rId4"/>
    <sheet name="LA Triwulan" sheetId="14" r:id="rId5"/>
    <sheet name="potensi 2023" sheetId="21" r:id="rId6"/>
    <sheet name="Estimasi 2023 KOMODITI" sheetId="19" r:id="rId7"/>
    <sheet name="manbun" sheetId="11" r:id="rId8"/>
    <sheet name="poten 2018" sheetId="5" r:id="rId9"/>
    <sheet name="Sheet2" sheetId="8" r:id="rId10"/>
    <sheet name="alasan 2019" sheetId="9" r:id="rId11"/>
  </sheets>
  <calcPr calcId="152511"/>
</workbook>
</file>

<file path=xl/calcChain.xml><?xml version="1.0" encoding="utf-8"?>
<calcChain xmlns="http://schemas.openxmlformats.org/spreadsheetml/2006/main">
  <c r="J11" i="23" l="1"/>
  <c r="J10" i="23"/>
  <c r="I374" i="1"/>
  <c r="I370" i="1"/>
  <c r="I61" i="1"/>
  <c r="I57" i="1"/>
  <c r="I191" i="1"/>
  <c r="I62" i="1"/>
  <c r="I60" i="1"/>
  <c r="I140" i="1"/>
  <c r="I99" i="1"/>
  <c r="I95" i="1"/>
  <c r="I190" i="1"/>
  <c r="I143" i="1"/>
  <c r="I15" i="1"/>
  <c r="I14" i="1"/>
  <c r="I59" i="1"/>
  <c r="I12" i="1"/>
  <c r="I58" i="1"/>
  <c r="I11" i="1"/>
  <c r="I10" i="1"/>
  <c r="E329" i="1" l="1"/>
  <c r="C240" i="1"/>
  <c r="C238" i="1"/>
  <c r="E238" i="1"/>
  <c r="D238" i="1"/>
  <c r="C193" i="1"/>
  <c r="E144" i="1"/>
  <c r="S144" i="1"/>
  <c r="C148" i="1"/>
  <c r="J68" i="1"/>
  <c r="E64" i="1"/>
  <c r="C57" i="1" l="1"/>
  <c r="E13" i="1"/>
  <c r="T648" i="1" l="1"/>
  <c r="T616" i="1"/>
  <c r="U612" i="1"/>
  <c r="S612" i="1"/>
  <c r="T612" i="1" s="1"/>
  <c r="R612" i="1"/>
  <c r="Q612" i="1"/>
  <c r="W574" i="1"/>
  <c r="T574" i="1"/>
  <c r="S574" i="1"/>
  <c r="T573" i="1"/>
  <c r="S573" i="1"/>
  <c r="R543" i="1"/>
  <c r="U543" i="1" s="1"/>
  <c r="Q543" i="1"/>
  <c r="T543" i="1" s="1"/>
  <c r="S542" i="1"/>
  <c r="R542" i="1"/>
  <c r="U542" i="1" s="1"/>
  <c r="U537" i="1"/>
  <c r="T537" i="1"/>
  <c r="R498" i="1"/>
  <c r="U498" i="1" s="1"/>
  <c r="Q498" i="1"/>
  <c r="T498" i="1" s="1"/>
  <c r="S497" i="1"/>
  <c r="R497" i="1"/>
  <c r="U497" i="1" s="1"/>
  <c r="Q497" i="1"/>
  <c r="R454" i="1"/>
  <c r="U454" i="1" s="1"/>
  <c r="Q454" i="1"/>
  <c r="T454" i="1" s="1"/>
  <c r="W417" i="1"/>
  <c r="U417" i="1"/>
  <c r="S417" i="1"/>
  <c r="T417" i="1" s="1"/>
  <c r="Q417" i="1"/>
  <c r="C417" i="1"/>
  <c r="E417" i="1"/>
  <c r="F417" i="1" s="1"/>
  <c r="G417" i="1"/>
  <c r="I417" i="1"/>
  <c r="W374" i="1"/>
  <c r="T374" i="1"/>
  <c r="S374" i="1"/>
  <c r="U372" i="1"/>
  <c r="T372" i="1"/>
  <c r="W370" i="1"/>
  <c r="S370" i="1"/>
  <c r="T370" i="1" s="1"/>
  <c r="W329" i="1"/>
  <c r="U329" i="1"/>
  <c r="S329" i="1"/>
  <c r="T329" i="1" s="1"/>
  <c r="Q329" i="1"/>
  <c r="R327" i="1"/>
  <c r="T327" i="1" s="1"/>
  <c r="Q327" i="1"/>
  <c r="W326" i="1"/>
  <c r="S326" i="1"/>
  <c r="R326" i="1"/>
  <c r="U326" i="1" s="1"/>
  <c r="Q326" i="1"/>
  <c r="U325" i="1"/>
  <c r="S325" i="1"/>
  <c r="T325" i="1" s="1"/>
  <c r="Q325" i="1"/>
  <c r="S241" i="1"/>
  <c r="R241" i="1"/>
  <c r="U241" i="1" s="1"/>
  <c r="Q241" i="1"/>
  <c r="W240" i="1"/>
  <c r="S240" i="1"/>
  <c r="R240" i="1"/>
  <c r="U240" i="1" s="1"/>
  <c r="Q240" i="1"/>
  <c r="U239" i="1"/>
  <c r="S239" i="1"/>
  <c r="T239" i="1" s="1"/>
  <c r="R239" i="1"/>
  <c r="Q239" i="1"/>
  <c r="W238" i="1"/>
  <c r="U238" i="1"/>
  <c r="S238" i="1"/>
  <c r="R238" i="1"/>
  <c r="Q238" i="1"/>
  <c r="T238" i="1" s="1"/>
  <c r="U236" i="1"/>
  <c r="T236" i="1"/>
  <c r="W235" i="1"/>
  <c r="U235" i="1"/>
  <c r="S235" i="1"/>
  <c r="T235" i="1" s="1"/>
  <c r="R235" i="1"/>
  <c r="Q235" i="1"/>
  <c r="S234" i="1"/>
  <c r="R234" i="1"/>
  <c r="U234" i="1" s="1"/>
  <c r="R197" i="1"/>
  <c r="U197" i="1" s="1"/>
  <c r="Q197" i="1"/>
  <c r="T197" i="1" s="1"/>
  <c r="W196" i="1"/>
  <c r="U196" i="1"/>
  <c r="S196" i="1"/>
  <c r="T196" i="1" s="1"/>
  <c r="R196" i="1"/>
  <c r="Q196" i="1"/>
  <c r="W195" i="1"/>
  <c r="U195" i="1"/>
  <c r="S195" i="1"/>
  <c r="T195" i="1" s="1"/>
  <c r="R195" i="1"/>
  <c r="Q195" i="1"/>
  <c r="W194" i="1"/>
  <c r="U194" i="1"/>
  <c r="S194" i="1"/>
  <c r="T194" i="1" s="1"/>
  <c r="R194" i="1"/>
  <c r="U193" i="1"/>
  <c r="S193" i="1"/>
  <c r="T193" i="1" s="1"/>
  <c r="R193" i="1"/>
  <c r="Q193" i="1"/>
  <c r="W192" i="1"/>
  <c r="U192" i="1"/>
  <c r="S192" i="1"/>
  <c r="T192" i="1" s="1"/>
  <c r="R192" i="1"/>
  <c r="Q192" i="1"/>
  <c r="W191" i="1"/>
  <c r="U191" i="1"/>
  <c r="S191" i="1"/>
  <c r="T191" i="1" s="1"/>
  <c r="R191" i="1"/>
  <c r="Q191" i="1"/>
  <c r="W190" i="1"/>
  <c r="U190" i="1"/>
  <c r="S190" i="1"/>
  <c r="T190" i="1" s="1"/>
  <c r="R190" i="1"/>
  <c r="Q190" i="1"/>
  <c r="U189" i="1"/>
  <c r="T189" i="1"/>
  <c r="W188" i="1"/>
  <c r="U188" i="1"/>
  <c r="S188" i="1"/>
  <c r="T188" i="1" s="1"/>
  <c r="R188" i="1"/>
  <c r="U187" i="1"/>
  <c r="S187" i="1"/>
  <c r="T187" i="1" s="1"/>
  <c r="Q187" i="1"/>
  <c r="S149" i="1"/>
  <c r="R149" i="1"/>
  <c r="U149" i="1" s="1"/>
  <c r="Q149" i="1"/>
  <c r="W148" i="1"/>
  <c r="S148" i="1"/>
  <c r="R148" i="1"/>
  <c r="U148" i="1" s="1"/>
  <c r="Q148" i="1"/>
  <c r="W146" i="1"/>
  <c r="S146" i="1"/>
  <c r="R146" i="1"/>
  <c r="U146" i="1" s="1"/>
  <c r="W145" i="1"/>
  <c r="U145" i="1"/>
  <c r="S145" i="1"/>
  <c r="T145" i="1" s="1"/>
  <c r="R145" i="1"/>
  <c r="Q145" i="1"/>
  <c r="W144" i="1"/>
  <c r="U144" i="1"/>
  <c r="T144" i="1"/>
  <c r="R144" i="1"/>
  <c r="Q144" i="1"/>
  <c r="W143" i="1"/>
  <c r="U143" i="1"/>
  <c r="S143" i="1"/>
  <c r="R143" i="1"/>
  <c r="Q143" i="1"/>
  <c r="T143" i="1" s="1"/>
  <c r="U142" i="1"/>
  <c r="T142" i="1"/>
  <c r="W141" i="1"/>
  <c r="U141" i="1"/>
  <c r="S141" i="1"/>
  <c r="T141" i="1" s="1"/>
  <c r="R141" i="1"/>
  <c r="U140" i="1"/>
  <c r="S140" i="1"/>
  <c r="T140" i="1" s="1"/>
  <c r="Q140" i="1"/>
  <c r="S104" i="1"/>
  <c r="R104" i="1"/>
  <c r="U104" i="1" s="1"/>
  <c r="Q104" i="1"/>
  <c r="W103" i="1"/>
  <c r="S103" i="1"/>
  <c r="T103" i="1" s="1"/>
  <c r="W100" i="1"/>
  <c r="U100" i="1"/>
  <c r="S100" i="1"/>
  <c r="T100" i="1" s="1"/>
  <c r="R100" i="1"/>
  <c r="Q100" i="1"/>
  <c r="W99" i="1"/>
  <c r="U99" i="1"/>
  <c r="S99" i="1"/>
  <c r="T99" i="1" s="1"/>
  <c r="R99" i="1"/>
  <c r="Q99" i="1"/>
  <c r="W98" i="1"/>
  <c r="U98" i="1"/>
  <c r="S98" i="1"/>
  <c r="T98" i="1" s="1"/>
  <c r="R98" i="1"/>
  <c r="Q98" i="1"/>
  <c r="U97" i="1"/>
  <c r="T97" i="1"/>
  <c r="W96" i="1"/>
  <c r="U96" i="1"/>
  <c r="S96" i="1"/>
  <c r="T96" i="1" s="1"/>
  <c r="R96" i="1"/>
  <c r="W95" i="1"/>
  <c r="S95" i="1"/>
  <c r="R95" i="1"/>
  <c r="U95" i="1" s="1"/>
  <c r="S65" i="1"/>
  <c r="R65" i="1"/>
  <c r="U65" i="1" s="1"/>
  <c r="Q65" i="1"/>
  <c r="W64" i="1"/>
  <c r="S64" i="1"/>
  <c r="R64" i="1"/>
  <c r="U64" i="1" s="1"/>
  <c r="Q64" i="1"/>
  <c r="W63" i="1"/>
  <c r="S63" i="1"/>
  <c r="R63" i="1"/>
  <c r="U63" i="1" s="1"/>
  <c r="Q63" i="1"/>
  <c r="W62" i="1"/>
  <c r="S62" i="1"/>
  <c r="R62" i="1"/>
  <c r="U62" i="1" s="1"/>
  <c r="Q62" i="1"/>
  <c r="W61" i="1"/>
  <c r="S61" i="1"/>
  <c r="R61" i="1"/>
  <c r="U61" i="1" s="1"/>
  <c r="Q61" i="1"/>
  <c r="W60" i="1"/>
  <c r="S60" i="1"/>
  <c r="R60" i="1"/>
  <c r="U60" i="1" s="1"/>
  <c r="Q60" i="1"/>
  <c r="W59" i="1"/>
  <c r="S59" i="1"/>
  <c r="R59" i="1"/>
  <c r="U59" i="1" s="1"/>
  <c r="Q59" i="1"/>
  <c r="W58" i="1"/>
  <c r="R58" i="1"/>
  <c r="U58" i="1" s="1"/>
  <c r="Q58" i="1"/>
  <c r="T58" i="1" s="1"/>
  <c r="W57" i="1"/>
  <c r="U57" i="1"/>
  <c r="S57" i="1"/>
  <c r="T57" i="1" s="1"/>
  <c r="R57" i="1"/>
  <c r="Q57" i="1"/>
  <c r="W20" i="1"/>
  <c r="U20" i="1"/>
  <c r="S20" i="1"/>
  <c r="T20" i="1" s="1"/>
  <c r="R20" i="1"/>
  <c r="Q20" i="1"/>
  <c r="W19" i="1"/>
  <c r="U19" i="1"/>
  <c r="S19" i="1"/>
  <c r="T19" i="1" s="1"/>
  <c r="R19" i="1"/>
  <c r="Q19" i="1"/>
  <c r="W15" i="1"/>
  <c r="U15" i="1"/>
  <c r="S15" i="1"/>
  <c r="T15" i="1" s="1"/>
  <c r="R15" i="1"/>
  <c r="Q15" i="1"/>
  <c r="W14" i="1"/>
  <c r="U14" i="1"/>
  <c r="S14" i="1"/>
  <c r="T14" i="1" s="1"/>
  <c r="R14" i="1"/>
  <c r="Q14" i="1"/>
  <c r="W13" i="1"/>
  <c r="U13" i="1"/>
  <c r="S13" i="1"/>
  <c r="T13" i="1" s="1"/>
  <c r="R13" i="1"/>
  <c r="Q13" i="1"/>
  <c r="W12" i="1"/>
  <c r="U12" i="1"/>
  <c r="S12" i="1"/>
  <c r="T12" i="1" s="1"/>
  <c r="R12" i="1"/>
  <c r="Q12" i="1"/>
  <c r="W11" i="1"/>
  <c r="U11" i="1"/>
  <c r="S11" i="1"/>
  <c r="T11" i="1" s="1"/>
  <c r="R11" i="1"/>
  <c r="Q11" i="1"/>
  <c r="W10" i="1"/>
  <c r="U10" i="1"/>
  <c r="S10" i="1"/>
  <c r="T10" i="1" s="1"/>
  <c r="R10" i="1"/>
  <c r="Q10" i="1"/>
  <c r="T542" i="1" l="1"/>
  <c r="T497" i="1"/>
  <c r="T326" i="1"/>
  <c r="U327" i="1"/>
  <c r="T234" i="1"/>
  <c r="T240" i="1"/>
  <c r="T241" i="1"/>
  <c r="T146" i="1"/>
  <c r="T148" i="1"/>
  <c r="T149" i="1"/>
  <c r="T95" i="1"/>
  <c r="T104" i="1"/>
  <c r="T59" i="1"/>
  <c r="T60" i="1"/>
  <c r="T61" i="1"/>
  <c r="T62" i="1"/>
  <c r="T63" i="1"/>
  <c r="T64" i="1"/>
  <c r="T65" i="1"/>
  <c r="E370" i="1" l="1"/>
  <c r="D497" i="1"/>
  <c r="C497" i="1"/>
  <c r="E100" i="1" l="1"/>
  <c r="C64" i="1"/>
  <c r="E240" i="1"/>
  <c r="D240" i="1"/>
  <c r="C63" i="1"/>
  <c r="E62" i="1"/>
  <c r="C100" i="1" l="1"/>
  <c r="C62" i="1"/>
  <c r="C60" i="1"/>
  <c r="D143" i="1"/>
  <c r="E196" i="1"/>
  <c r="D196" i="1" l="1"/>
  <c r="C196" i="1"/>
  <c r="E143" i="1" l="1"/>
  <c r="C190" i="1"/>
  <c r="E190" i="1"/>
  <c r="D190" i="1"/>
  <c r="E103" i="1" l="1"/>
  <c r="D195" i="1"/>
  <c r="C195" i="1"/>
  <c r="C65" i="1"/>
  <c r="E65" i="1"/>
  <c r="E58" i="1" l="1"/>
  <c r="D58" i="1"/>
  <c r="C58" i="1"/>
  <c r="E11" i="1"/>
  <c r="D11" i="1"/>
  <c r="C11" i="1"/>
  <c r="E95" i="1"/>
  <c r="E140" i="1"/>
  <c r="C187" i="1"/>
  <c r="E187" i="1"/>
  <c r="E57" i="1"/>
  <c r="E10" i="1"/>
  <c r="D59" i="1"/>
  <c r="C59" i="1"/>
  <c r="E12" i="1"/>
  <c r="D241" i="1" l="1"/>
  <c r="C241" i="1"/>
  <c r="E194" i="1"/>
  <c r="C194" i="1"/>
  <c r="C61" i="1"/>
  <c r="E374" i="1"/>
  <c r="E99" i="1"/>
  <c r="C191" i="1"/>
  <c r="E191" i="1"/>
  <c r="E61" i="1"/>
  <c r="E14" i="1"/>
  <c r="E239" i="1" l="1"/>
  <c r="D239" i="1"/>
  <c r="C239" i="1"/>
  <c r="D100" i="1"/>
  <c r="E145" i="1"/>
  <c r="D145" i="1"/>
  <c r="C145" i="1"/>
  <c r="C192" i="1"/>
  <c r="D62" i="1"/>
  <c r="E15" i="1"/>
  <c r="D15" i="1"/>
  <c r="C15" i="1"/>
  <c r="E13" i="3" l="1"/>
  <c r="F13" i="3"/>
  <c r="H13" i="3"/>
  <c r="I13" i="3"/>
  <c r="J13" i="3"/>
  <c r="D13" i="3"/>
  <c r="E12" i="3"/>
  <c r="F12" i="3"/>
  <c r="H12" i="3"/>
  <c r="I12" i="3"/>
  <c r="J12" i="3"/>
  <c r="D12" i="3"/>
  <c r="E59" i="1" l="1"/>
  <c r="D63" i="1"/>
  <c r="V68" i="1"/>
  <c r="W68" i="1"/>
  <c r="R68" i="1"/>
  <c r="U68" i="1" s="1"/>
  <c r="Q68" i="1"/>
  <c r="T68" i="1" l="1"/>
  <c r="S68" i="1"/>
  <c r="D292" i="1" l="1"/>
  <c r="E292" i="1"/>
  <c r="F292" i="1"/>
  <c r="G292" i="1"/>
  <c r="H292" i="1"/>
  <c r="I292" i="1"/>
  <c r="C292" i="1"/>
  <c r="F281" i="1"/>
  <c r="F282" i="1"/>
  <c r="F283" i="1"/>
  <c r="F284" i="1"/>
  <c r="F285" i="1"/>
  <c r="F286" i="1"/>
  <c r="F287" i="1"/>
  <c r="F288" i="1"/>
  <c r="F289" i="1"/>
  <c r="F280" i="1"/>
  <c r="H337" i="1"/>
  <c r="H246" i="1"/>
  <c r="H582" i="1" l="1"/>
  <c r="H152" i="1"/>
  <c r="H545" i="1"/>
  <c r="M616" i="1"/>
  <c r="N616" i="1"/>
  <c r="K616" i="1"/>
  <c r="H500" i="1"/>
  <c r="H107" i="1"/>
  <c r="F101" i="1"/>
  <c r="F102" i="1"/>
  <c r="H382" i="1"/>
  <c r="K74" i="1" l="1"/>
  <c r="K75" i="1"/>
  <c r="K78" i="1"/>
  <c r="K79" i="1"/>
  <c r="K71" i="1"/>
  <c r="H69" i="1"/>
  <c r="H199" i="1" l="1"/>
  <c r="H22" i="1"/>
  <c r="E192" i="1" l="1"/>
  <c r="E63" i="1" l="1"/>
  <c r="D13" i="1" l="1"/>
  <c r="D12" i="1"/>
  <c r="E183" i="3"/>
  <c r="F183" i="3"/>
  <c r="H183" i="3"/>
  <c r="I183" i="3"/>
  <c r="J183" i="3"/>
  <c r="D183" i="3"/>
  <c r="E182" i="3"/>
  <c r="F182" i="3"/>
  <c r="G182" i="3"/>
  <c r="H182" i="3"/>
  <c r="I182" i="3"/>
  <c r="J182" i="3"/>
  <c r="D182" i="3"/>
  <c r="E181" i="3"/>
  <c r="F181" i="3"/>
  <c r="G181" i="3"/>
  <c r="H181" i="3"/>
  <c r="I181" i="3"/>
  <c r="J181" i="3"/>
  <c r="D181" i="3"/>
  <c r="E180" i="3"/>
  <c r="F180" i="3"/>
  <c r="G180" i="3"/>
  <c r="H180" i="3"/>
  <c r="I180" i="3"/>
  <c r="J180" i="3"/>
  <c r="D180" i="3"/>
  <c r="E179" i="3"/>
  <c r="F179" i="3"/>
  <c r="G179" i="3"/>
  <c r="H179" i="3"/>
  <c r="I179" i="3"/>
  <c r="J179" i="3"/>
  <c r="D179" i="3"/>
  <c r="E178" i="3"/>
  <c r="F178" i="3"/>
  <c r="H178" i="3"/>
  <c r="I178" i="3"/>
  <c r="J178" i="3"/>
  <c r="D178" i="3"/>
  <c r="E177" i="3"/>
  <c r="F177" i="3"/>
  <c r="I177" i="3"/>
  <c r="J177" i="3"/>
  <c r="D177" i="3"/>
  <c r="E176" i="3"/>
  <c r="F176" i="3"/>
  <c r="H176" i="3"/>
  <c r="I176" i="3"/>
  <c r="J176" i="3"/>
  <c r="D176" i="3"/>
  <c r="E175" i="3"/>
  <c r="F175" i="3"/>
  <c r="G175" i="3"/>
  <c r="H175" i="3"/>
  <c r="I175" i="3"/>
  <c r="J175" i="3"/>
  <c r="D175" i="3"/>
  <c r="E174" i="3"/>
  <c r="F174" i="3"/>
  <c r="H174" i="3"/>
  <c r="I174" i="3"/>
  <c r="J174" i="3"/>
  <c r="D174" i="3"/>
  <c r="E173" i="3"/>
  <c r="F173" i="3"/>
  <c r="G173" i="3"/>
  <c r="H173" i="3"/>
  <c r="I173" i="3"/>
  <c r="J173" i="3"/>
  <c r="D173" i="3"/>
  <c r="E172" i="3"/>
  <c r="F172" i="3"/>
  <c r="H172" i="3"/>
  <c r="I172" i="3"/>
  <c r="J172" i="3"/>
  <c r="D172" i="3"/>
  <c r="E171" i="3"/>
  <c r="F171" i="3"/>
  <c r="G171" i="3"/>
  <c r="H171" i="3"/>
  <c r="I171" i="3"/>
  <c r="J171" i="3"/>
  <c r="D171" i="3"/>
  <c r="E170" i="3"/>
  <c r="F170" i="3"/>
  <c r="H170" i="3"/>
  <c r="I170" i="3"/>
  <c r="J170" i="3"/>
  <c r="D170" i="3"/>
  <c r="E169" i="3"/>
  <c r="F169" i="3"/>
  <c r="H169" i="3"/>
  <c r="I169" i="3"/>
  <c r="J169" i="3"/>
  <c r="D169" i="3"/>
  <c r="E168" i="3"/>
  <c r="F168" i="3"/>
  <c r="H168" i="3"/>
  <c r="I168" i="3"/>
  <c r="J168" i="3"/>
  <c r="D168" i="3"/>
  <c r="E145" i="3"/>
  <c r="F145" i="3"/>
  <c r="G145" i="3"/>
  <c r="H145" i="3"/>
  <c r="I145" i="3"/>
  <c r="J145" i="3"/>
  <c r="D145" i="3"/>
  <c r="E144" i="3"/>
  <c r="F144" i="3"/>
  <c r="I144" i="3"/>
  <c r="J144" i="3"/>
  <c r="D144" i="3"/>
  <c r="E143" i="3"/>
  <c r="F143" i="3"/>
  <c r="I143" i="3"/>
  <c r="J143" i="3"/>
  <c r="D143" i="3"/>
  <c r="E142" i="3"/>
  <c r="F142" i="3"/>
  <c r="G142" i="3"/>
  <c r="H142" i="3"/>
  <c r="I142" i="3"/>
  <c r="J142" i="3"/>
  <c r="D142" i="3"/>
  <c r="E141" i="3"/>
  <c r="F141" i="3"/>
  <c r="G141" i="3"/>
  <c r="H141" i="3"/>
  <c r="I141" i="3"/>
  <c r="J141" i="3"/>
  <c r="D141" i="3"/>
  <c r="E140" i="3"/>
  <c r="F140" i="3"/>
  <c r="G140" i="3"/>
  <c r="H140" i="3"/>
  <c r="I140" i="3"/>
  <c r="J140" i="3"/>
  <c r="D140" i="3"/>
  <c r="J139" i="3"/>
  <c r="E139" i="3"/>
  <c r="F139" i="3"/>
  <c r="G139" i="3"/>
  <c r="H139" i="3"/>
  <c r="I139" i="3"/>
  <c r="D139" i="3"/>
  <c r="E138" i="3"/>
  <c r="F138" i="3"/>
  <c r="G138" i="3"/>
  <c r="H138" i="3"/>
  <c r="I138" i="3"/>
  <c r="J138" i="3"/>
  <c r="D138" i="3"/>
  <c r="E137" i="3"/>
  <c r="F137" i="3"/>
  <c r="G137" i="3"/>
  <c r="H137" i="3"/>
  <c r="I137" i="3"/>
  <c r="J137" i="3"/>
  <c r="D137" i="3"/>
  <c r="E136" i="3"/>
  <c r="F136" i="3"/>
  <c r="G136" i="3"/>
  <c r="H136" i="3"/>
  <c r="I136" i="3"/>
  <c r="J136" i="3"/>
  <c r="D136" i="3"/>
  <c r="E135" i="3"/>
  <c r="F135" i="3"/>
  <c r="G135" i="3"/>
  <c r="H135" i="3"/>
  <c r="I135" i="3"/>
  <c r="J135" i="3"/>
  <c r="D135" i="3"/>
  <c r="E134" i="3"/>
  <c r="F134" i="3"/>
  <c r="I134" i="3"/>
  <c r="J134" i="3"/>
  <c r="D134" i="3"/>
  <c r="E133" i="3"/>
  <c r="F133" i="3"/>
  <c r="G133" i="3"/>
  <c r="H133" i="3"/>
  <c r="I133" i="3"/>
  <c r="J133" i="3"/>
  <c r="D133" i="3"/>
  <c r="E132" i="3"/>
  <c r="F132" i="3"/>
  <c r="I132" i="3"/>
  <c r="J132" i="3"/>
  <c r="D132" i="3"/>
  <c r="E131" i="3"/>
  <c r="F131" i="3"/>
  <c r="H131" i="3"/>
  <c r="I131" i="3"/>
  <c r="J131" i="3"/>
  <c r="D131" i="3"/>
  <c r="E130" i="3"/>
  <c r="F130" i="3"/>
  <c r="I130" i="3"/>
  <c r="J130" i="3"/>
  <c r="D130" i="3"/>
  <c r="E103" i="3"/>
  <c r="F103" i="3"/>
  <c r="G103" i="3"/>
  <c r="H103" i="3"/>
  <c r="I103" i="3"/>
  <c r="J103" i="3"/>
  <c r="D103" i="3"/>
  <c r="E102" i="3"/>
  <c r="F102" i="3"/>
  <c r="G102" i="3"/>
  <c r="H102" i="3"/>
  <c r="I102" i="3"/>
  <c r="J102" i="3"/>
  <c r="D102" i="3"/>
  <c r="E101" i="3"/>
  <c r="F101" i="3"/>
  <c r="G101" i="3"/>
  <c r="H101" i="3"/>
  <c r="I101" i="3"/>
  <c r="J101" i="3"/>
  <c r="D101" i="3"/>
  <c r="E100" i="3"/>
  <c r="F100" i="3"/>
  <c r="G100" i="3"/>
  <c r="H100" i="3"/>
  <c r="I100" i="3"/>
  <c r="J100" i="3"/>
  <c r="D100" i="3"/>
  <c r="E99" i="3"/>
  <c r="F99" i="3"/>
  <c r="G99" i="3"/>
  <c r="H99" i="3"/>
  <c r="I99" i="3"/>
  <c r="J99" i="3"/>
  <c r="D99" i="3"/>
  <c r="E98" i="3"/>
  <c r="F98" i="3"/>
  <c r="G98" i="3"/>
  <c r="H98" i="3"/>
  <c r="I98" i="3"/>
  <c r="J98" i="3"/>
  <c r="D98" i="3"/>
  <c r="E97" i="3"/>
  <c r="F97" i="3"/>
  <c r="G97" i="3"/>
  <c r="H97" i="3"/>
  <c r="I97" i="3"/>
  <c r="J97" i="3"/>
  <c r="D97" i="3"/>
  <c r="E96" i="3"/>
  <c r="F96" i="3"/>
  <c r="G96" i="3"/>
  <c r="H96" i="3"/>
  <c r="I96" i="3"/>
  <c r="J96" i="3"/>
  <c r="D96" i="3"/>
  <c r="E95" i="3"/>
  <c r="F95" i="3"/>
  <c r="G95" i="3"/>
  <c r="H95" i="3"/>
  <c r="I95" i="3"/>
  <c r="J95" i="3"/>
  <c r="D95" i="3"/>
  <c r="E94" i="3"/>
  <c r="F94" i="3"/>
  <c r="G94" i="3"/>
  <c r="I94" i="3"/>
  <c r="J94" i="3"/>
  <c r="D94" i="3"/>
  <c r="E93" i="3"/>
  <c r="F93" i="3"/>
  <c r="G93" i="3"/>
  <c r="H93" i="3"/>
  <c r="I93" i="3"/>
  <c r="J93" i="3"/>
  <c r="D93" i="3"/>
  <c r="E92" i="3"/>
  <c r="F92" i="3"/>
  <c r="I92" i="3"/>
  <c r="J92" i="3"/>
  <c r="D92" i="3"/>
  <c r="E91" i="3"/>
  <c r="F91" i="3"/>
  <c r="I91" i="3"/>
  <c r="J91" i="3"/>
  <c r="D91" i="3"/>
  <c r="E27" i="3"/>
  <c r="F27" i="3"/>
  <c r="I27" i="3"/>
  <c r="J27" i="3"/>
  <c r="D27" i="3"/>
  <c r="E26" i="3"/>
  <c r="F26" i="3"/>
  <c r="G26" i="3"/>
  <c r="H26" i="3"/>
  <c r="I26" i="3"/>
  <c r="J26" i="3"/>
  <c r="D26" i="3"/>
  <c r="E25" i="3"/>
  <c r="F25" i="3"/>
  <c r="G25" i="3"/>
  <c r="H25" i="3"/>
  <c r="I25" i="3"/>
  <c r="J25" i="3"/>
  <c r="D25" i="3"/>
  <c r="E24" i="3"/>
  <c r="F24" i="3"/>
  <c r="G24" i="3"/>
  <c r="H24" i="3"/>
  <c r="I24" i="3"/>
  <c r="J24" i="3"/>
  <c r="D24" i="3"/>
  <c r="E23" i="3"/>
  <c r="F23" i="3"/>
  <c r="G23" i="3"/>
  <c r="H23" i="3"/>
  <c r="I23" i="3"/>
  <c r="J23" i="3"/>
  <c r="D23" i="3"/>
  <c r="E22" i="3"/>
  <c r="F22" i="3"/>
  <c r="G22" i="3"/>
  <c r="H22" i="3"/>
  <c r="I22" i="3"/>
  <c r="J22" i="3"/>
  <c r="D22" i="3"/>
  <c r="E21" i="3"/>
  <c r="F21" i="3"/>
  <c r="G21" i="3"/>
  <c r="H21" i="3"/>
  <c r="I21" i="3"/>
  <c r="J21" i="3"/>
  <c r="D21" i="3"/>
  <c r="E19" i="3"/>
  <c r="F19" i="3"/>
  <c r="G19" i="3"/>
  <c r="H19" i="3"/>
  <c r="I19" i="3"/>
  <c r="J19" i="3"/>
  <c r="D19" i="3"/>
  <c r="E18" i="3"/>
  <c r="F18" i="3"/>
  <c r="H18" i="3"/>
  <c r="I18" i="3"/>
  <c r="J18" i="3"/>
  <c r="D18" i="3"/>
  <c r="E17" i="3"/>
  <c r="F17" i="3"/>
  <c r="G17" i="3"/>
  <c r="H17" i="3"/>
  <c r="I17" i="3"/>
  <c r="J17" i="3"/>
  <c r="D17" i="3"/>
  <c r="J16" i="3" l="1"/>
  <c r="I16" i="3"/>
  <c r="E16" i="3"/>
  <c r="F16" i="3"/>
  <c r="D16" i="3"/>
  <c r="I14" i="3"/>
  <c r="J61" i="3" l="1"/>
  <c r="E61" i="3"/>
  <c r="F61" i="3"/>
  <c r="D61" i="3"/>
  <c r="J60" i="3"/>
  <c r="E60" i="3"/>
  <c r="F60" i="3"/>
  <c r="D60" i="3"/>
  <c r="J57" i="3"/>
  <c r="E57" i="3"/>
  <c r="F57" i="3"/>
  <c r="D57" i="3"/>
  <c r="J55" i="3"/>
  <c r="E55" i="3"/>
  <c r="F55" i="3"/>
  <c r="D55" i="3"/>
  <c r="J53" i="3"/>
  <c r="E53" i="3"/>
  <c r="F53" i="3"/>
  <c r="D53" i="3"/>
  <c r="J52" i="3"/>
  <c r="E52" i="3"/>
  <c r="F52" i="3"/>
  <c r="D52" i="3"/>
  <c r="J51" i="3"/>
  <c r="E51" i="3"/>
  <c r="F51" i="3"/>
  <c r="D51" i="3"/>
  <c r="J20" i="3"/>
  <c r="E20" i="3"/>
  <c r="F20" i="3"/>
  <c r="D20" i="3"/>
  <c r="J14" i="3"/>
  <c r="E14" i="3"/>
  <c r="F14" i="3"/>
  <c r="D14" i="3"/>
  <c r="D149" i="1"/>
  <c r="C149" i="1"/>
  <c r="I148" i="1"/>
  <c r="I103" i="1"/>
  <c r="E195" i="1"/>
  <c r="C454" i="1"/>
  <c r="D61" i="1"/>
  <c r="I573" i="1"/>
  <c r="N573" i="1"/>
  <c r="L573" i="1"/>
  <c r="M573" i="1"/>
  <c r="E573" i="1"/>
  <c r="C140" i="1" l="1"/>
  <c r="E234" i="1"/>
  <c r="C234" i="1"/>
  <c r="D10" i="1"/>
  <c r="D57" i="1"/>
  <c r="G18" i="5" l="1"/>
  <c r="F18" i="5"/>
  <c r="E18" i="5"/>
  <c r="D18" i="5"/>
  <c r="C18" i="5"/>
  <c r="J17" i="5"/>
  <c r="H17" i="5"/>
  <c r="H16" i="5"/>
  <c r="H15" i="5"/>
  <c r="L14" i="5"/>
  <c r="J14" i="5"/>
  <c r="H14" i="5"/>
  <c r="L13" i="5"/>
  <c r="J13" i="5"/>
  <c r="H13" i="5"/>
  <c r="L12" i="5"/>
  <c r="J12" i="5"/>
  <c r="H12" i="5"/>
  <c r="O11" i="5"/>
  <c r="H11" i="5"/>
  <c r="L10" i="5"/>
  <c r="J10" i="5"/>
  <c r="H10" i="5"/>
  <c r="L9" i="5"/>
  <c r="J9" i="5"/>
  <c r="H9" i="5"/>
  <c r="L8" i="5"/>
  <c r="H8" i="5"/>
  <c r="H7" i="5"/>
  <c r="H18" i="5" s="1"/>
  <c r="H25" i="19"/>
  <c r="H24" i="19"/>
  <c r="H23" i="19"/>
  <c r="H21" i="19"/>
  <c r="H20" i="19"/>
  <c r="H19" i="19"/>
  <c r="H18" i="19"/>
  <c r="H16" i="19"/>
  <c r="H14" i="19"/>
  <c r="E13" i="19"/>
  <c r="H12" i="19"/>
  <c r="H11" i="19"/>
  <c r="H10" i="19"/>
  <c r="J17" i="21"/>
  <c r="G17" i="21"/>
  <c r="F17" i="21"/>
  <c r="E17" i="21"/>
  <c r="C17" i="21"/>
  <c r="C16" i="21"/>
  <c r="F15" i="21"/>
  <c r="D15" i="21"/>
  <c r="L14" i="21"/>
  <c r="J14" i="21"/>
  <c r="G14" i="21"/>
  <c r="F14" i="21"/>
  <c r="D14" i="21"/>
  <c r="L13" i="21"/>
  <c r="J13" i="21"/>
  <c r="F13" i="21"/>
  <c r="D13" i="21"/>
  <c r="L12" i="21"/>
  <c r="J12" i="21"/>
  <c r="F12" i="21"/>
  <c r="O11" i="21"/>
  <c r="F11" i="21"/>
  <c r="L10" i="21"/>
  <c r="J10" i="21"/>
  <c r="F10" i="21"/>
  <c r="L9" i="21"/>
  <c r="J9" i="21"/>
  <c r="G9" i="21"/>
  <c r="F9" i="21"/>
  <c r="E9" i="21"/>
  <c r="L8" i="21"/>
  <c r="F8" i="21"/>
  <c r="F7" i="21"/>
  <c r="D30" i="14"/>
  <c r="C30" i="14"/>
  <c r="D27" i="14"/>
  <c r="C27" i="14"/>
  <c r="D26" i="14"/>
  <c r="C26" i="14"/>
  <c r="D19" i="14"/>
  <c r="C19" i="14"/>
  <c r="D17" i="14"/>
  <c r="C17" i="14"/>
  <c r="H30" i="14"/>
  <c r="J30" i="14" s="1"/>
  <c r="D30" i="13"/>
  <c r="L30" i="13" s="1"/>
  <c r="C30" i="13"/>
  <c r="M30" i="13" s="1"/>
  <c r="H27" i="14"/>
  <c r="J27" i="14" s="1"/>
  <c r="D27" i="13"/>
  <c r="H27" i="13" s="1"/>
  <c r="C27" i="13"/>
  <c r="E27" i="14" s="1"/>
  <c r="D26" i="13"/>
  <c r="L26" i="13" s="1"/>
  <c r="C26" i="13"/>
  <c r="E26" i="14" s="1"/>
  <c r="D19" i="13"/>
  <c r="F19" i="14" s="1"/>
  <c r="C19" i="13"/>
  <c r="E19" i="14" s="1"/>
  <c r="D17" i="13"/>
  <c r="F17" i="14" s="1"/>
  <c r="C17" i="13"/>
  <c r="E17" i="14" s="1"/>
  <c r="I25" i="23"/>
  <c r="I24" i="23"/>
  <c r="I23" i="23"/>
  <c r="I21" i="23"/>
  <c r="I20" i="23"/>
  <c r="D18" i="23"/>
  <c r="G18" i="23" s="1"/>
  <c r="J16" i="23"/>
  <c r="I15" i="23"/>
  <c r="I14" i="23"/>
  <c r="I13" i="23"/>
  <c r="D13" i="23"/>
  <c r="I12" i="23"/>
  <c r="I11" i="23"/>
  <c r="I10" i="23"/>
  <c r="V656" i="1"/>
  <c r="AK655" i="1"/>
  <c r="AG655" i="1"/>
  <c r="W655" i="1"/>
  <c r="W656" i="1" s="1"/>
  <c r="S655" i="1"/>
  <c r="S656" i="1" s="1"/>
  <c r="I655" i="1"/>
  <c r="H655" i="1"/>
  <c r="I29" i="23" s="1"/>
  <c r="E655" i="1"/>
  <c r="C655" i="1"/>
  <c r="C656" i="1" s="1"/>
  <c r="AH648" i="1"/>
  <c r="F648" i="1"/>
  <c r="G183" i="3" s="1"/>
  <c r="AF644" i="1"/>
  <c r="AI644" i="1" s="1"/>
  <c r="AE644" i="1"/>
  <c r="AE655" i="1" s="1"/>
  <c r="AB644" i="1"/>
  <c r="AA644" i="1"/>
  <c r="Z644" i="1"/>
  <c r="Q655" i="1"/>
  <c r="Q656" i="1" s="1"/>
  <c r="H27" i="3"/>
  <c r="D655" i="1"/>
  <c r="E29" i="23" s="1"/>
  <c r="AJ620" i="1"/>
  <c r="V621" i="1" s="1"/>
  <c r="AI620" i="1"/>
  <c r="AG620" i="1"/>
  <c r="AF620" i="1"/>
  <c r="AE620" i="1"/>
  <c r="W620" i="1"/>
  <c r="S620" i="1"/>
  <c r="Q620" i="1"/>
  <c r="Q621" i="1" s="1"/>
  <c r="I620" i="1"/>
  <c r="H620" i="1"/>
  <c r="I16" i="23" s="1"/>
  <c r="E620" i="1"/>
  <c r="C620" i="1"/>
  <c r="AH617" i="1"/>
  <c r="AH616" i="1"/>
  <c r="Y616" i="1"/>
  <c r="F616" i="1"/>
  <c r="AK612" i="1"/>
  <c r="AK620" i="1" s="1"/>
  <c r="AI612" i="1"/>
  <c r="AH612" i="1"/>
  <c r="AH620" i="1" s="1"/>
  <c r="AG612" i="1"/>
  <c r="AA612" i="1"/>
  <c r="N612" i="1"/>
  <c r="N620" i="1" s="1"/>
  <c r="M612" i="1"/>
  <c r="M620" i="1" s="1"/>
  <c r="K612" i="1"/>
  <c r="K620" i="1" s="1"/>
  <c r="V582" i="1"/>
  <c r="AK581" i="1"/>
  <c r="AF581" i="1"/>
  <c r="AI581" i="1" s="1"/>
  <c r="AE581" i="1"/>
  <c r="W581" i="1"/>
  <c r="R581" i="1"/>
  <c r="D582" i="1" s="1"/>
  <c r="Q581" i="1"/>
  <c r="C582" i="1" s="1"/>
  <c r="E581" i="1"/>
  <c r="D581" i="1"/>
  <c r="C581" i="1"/>
  <c r="D23" i="23" s="1"/>
  <c r="AK574" i="1"/>
  <c r="AH574" i="1"/>
  <c r="AG574" i="1"/>
  <c r="AA574" i="1"/>
  <c r="N574" i="1"/>
  <c r="N581" i="1" s="1"/>
  <c r="L574" i="1"/>
  <c r="L581" i="1" s="1"/>
  <c r="K574" i="1"/>
  <c r="K581" i="1" s="1"/>
  <c r="I574" i="1"/>
  <c r="I581" i="1" s="1"/>
  <c r="F574" i="1"/>
  <c r="J574" i="1" s="1"/>
  <c r="E574" i="1"/>
  <c r="M574" i="1" s="1"/>
  <c r="M581" i="1" s="1"/>
  <c r="AI573" i="1"/>
  <c r="AG573" i="1"/>
  <c r="Z573" i="1"/>
  <c r="H143" i="3"/>
  <c r="F573" i="1"/>
  <c r="AK544" i="1"/>
  <c r="AG544" i="1"/>
  <c r="AF544" i="1"/>
  <c r="AI544" i="1" s="1"/>
  <c r="AE544" i="1"/>
  <c r="W544" i="1"/>
  <c r="I545" i="1" s="1"/>
  <c r="S544" i="1"/>
  <c r="E545" i="1" s="1"/>
  <c r="R544" i="1"/>
  <c r="D545" i="1" s="1"/>
  <c r="I544" i="1"/>
  <c r="J20" i="23" s="1"/>
  <c r="AI543" i="1"/>
  <c r="AH543" i="1"/>
  <c r="X543" i="1"/>
  <c r="N543" i="1"/>
  <c r="M543" i="1"/>
  <c r="K543" i="1"/>
  <c r="D543" i="1"/>
  <c r="C543" i="1"/>
  <c r="AI542" i="1"/>
  <c r="AH542" i="1"/>
  <c r="Q544" i="1"/>
  <c r="C545" i="1" s="1"/>
  <c r="N542" i="1"/>
  <c r="G542" i="1"/>
  <c r="E542" i="1"/>
  <c r="D542" i="1"/>
  <c r="L542" i="1" s="1"/>
  <c r="C544" i="1"/>
  <c r="D20" i="23" s="1"/>
  <c r="AI537" i="1"/>
  <c r="AH537" i="1"/>
  <c r="AH544" i="1" s="1"/>
  <c r="G537" i="1"/>
  <c r="F537" i="1"/>
  <c r="V500" i="1"/>
  <c r="AK499" i="1"/>
  <c r="AG499" i="1"/>
  <c r="AE499" i="1"/>
  <c r="W499" i="1"/>
  <c r="Q499" i="1"/>
  <c r="Q500" i="1" s="1"/>
  <c r="I499" i="1"/>
  <c r="J15" i="23" s="1"/>
  <c r="AI498" i="1"/>
  <c r="AH498" i="1"/>
  <c r="AA498" i="1"/>
  <c r="Y498" i="1"/>
  <c r="N498" i="1"/>
  <c r="M498" i="1"/>
  <c r="L498" i="1"/>
  <c r="D498" i="1"/>
  <c r="G498" i="1" s="1"/>
  <c r="C498" i="1"/>
  <c r="K498" i="1" s="1"/>
  <c r="AF497" i="1"/>
  <c r="AF499" i="1" s="1"/>
  <c r="AI499" i="1" s="1"/>
  <c r="AE497" i="1"/>
  <c r="AH497" i="1" s="1"/>
  <c r="AH499" i="1" s="1"/>
  <c r="AA497" i="1"/>
  <c r="R499" i="1"/>
  <c r="Y497" i="1"/>
  <c r="N497" i="1"/>
  <c r="G497" i="1"/>
  <c r="E497" i="1"/>
  <c r="D499" i="1"/>
  <c r="D373" i="3"/>
  <c r="AK461" i="1"/>
  <c r="AI461" i="1"/>
  <c r="AG461" i="1"/>
  <c r="AF461" i="1"/>
  <c r="W461" i="1"/>
  <c r="V461" i="1"/>
  <c r="H462" i="1" s="1"/>
  <c r="S461" i="1"/>
  <c r="E462" i="1" s="1"/>
  <c r="R461" i="1"/>
  <c r="D462" i="1" s="1"/>
  <c r="I461" i="1"/>
  <c r="J18" i="23" s="1"/>
  <c r="H461" i="1"/>
  <c r="I18" i="23" s="1"/>
  <c r="E461" i="1"/>
  <c r="F18" i="23" s="1"/>
  <c r="AI454" i="1"/>
  <c r="AE454" i="1"/>
  <c r="AH454" i="1" s="1"/>
  <c r="AH461" i="1" s="1"/>
  <c r="U461" i="1"/>
  <c r="Q461" i="1"/>
  <c r="C462" i="1" s="1"/>
  <c r="N454" i="1"/>
  <c r="N461" i="1" s="1"/>
  <c r="M454" i="1"/>
  <c r="M461" i="1" s="1"/>
  <c r="K454" i="1"/>
  <c r="K461" i="1" s="1"/>
  <c r="C461" i="1"/>
  <c r="AK424" i="1"/>
  <c r="AH424" i="1"/>
  <c r="AG424" i="1"/>
  <c r="AF424" i="1"/>
  <c r="AE424" i="1"/>
  <c r="W424" i="1"/>
  <c r="W425" i="1" s="1"/>
  <c r="V424" i="1"/>
  <c r="U424" i="1"/>
  <c r="S424" i="1"/>
  <c r="S425" i="1" s="1"/>
  <c r="R424" i="1"/>
  <c r="Q424" i="1"/>
  <c r="I424" i="1"/>
  <c r="I425" i="1" s="1"/>
  <c r="H424" i="1"/>
  <c r="G424" i="1"/>
  <c r="G425" i="1" s="1"/>
  <c r="E424" i="1"/>
  <c r="D424" i="1"/>
  <c r="D425" i="1" s="1"/>
  <c r="AI417" i="1"/>
  <c r="AI424" i="1" s="1"/>
  <c r="AH417" i="1"/>
  <c r="M417" i="1"/>
  <c r="M424" i="1" s="1"/>
  <c r="L417" i="1"/>
  <c r="L424" i="1" s="1"/>
  <c r="K417" i="1"/>
  <c r="K424" i="1" s="1"/>
  <c r="N417" i="1"/>
  <c r="N424" i="1" s="1"/>
  <c r="C424" i="1"/>
  <c r="AH416" i="1"/>
  <c r="T424" i="1"/>
  <c r="T425" i="1" s="1"/>
  <c r="V382" i="1"/>
  <c r="AI381" i="1"/>
  <c r="AF381" i="1"/>
  <c r="AE381" i="1"/>
  <c r="U381" i="1"/>
  <c r="R381" i="1"/>
  <c r="D382" i="1" s="1"/>
  <c r="Q381" i="1"/>
  <c r="D381" i="1"/>
  <c r="C381" i="1"/>
  <c r="AK374" i="1"/>
  <c r="AK381" i="1" s="1"/>
  <c r="AG374" i="1"/>
  <c r="AH374" i="1" s="1"/>
  <c r="L374" i="1"/>
  <c r="K374" i="1"/>
  <c r="K381" i="1" s="1"/>
  <c r="N374" i="1"/>
  <c r="AI372" i="1"/>
  <c r="AH372" i="1"/>
  <c r="G372" i="1"/>
  <c r="G381" i="1" s="1"/>
  <c r="H383" i="1" s="1"/>
  <c r="F372" i="1"/>
  <c r="AH370" i="1"/>
  <c r="AH381" i="1" s="1"/>
  <c r="W381" i="1"/>
  <c r="L370" i="1"/>
  <c r="L381" i="1" s="1"/>
  <c r="K370" i="1"/>
  <c r="N370" i="1"/>
  <c r="V342" i="1"/>
  <c r="H342" i="1"/>
  <c r="V337" i="1"/>
  <c r="AK336" i="1"/>
  <c r="AG336" i="1"/>
  <c r="AE336" i="1"/>
  <c r="S336" i="1"/>
  <c r="I336" i="1"/>
  <c r="AI329" i="1"/>
  <c r="AH329" i="1"/>
  <c r="N329" i="1"/>
  <c r="L329" i="1"/>
  <c r="I329" i="1"/>
  <c r="G329" i="1"/>
  <c r="C329" i="1"/>
  <c r="K329" i="1" s="1"/>
  <c r="AF327" i="1"/>
  <c r="AE327" i="1"/>
  <c r="AA327" i="1"/>
  <c r="Y327" i="1"/>
  <c r="N327" i="1"/>
  <c r="M327" i="1"/>
  <c r="G327" i="1"/>
  <c r="D327" i="1"/>
  <c r="C327" i="1"/>
  <c r="AI326" i="1"/>
  <c r="AH326" i="1"/>
  <c r="W336" i="1"/>
  <c r="N326" i="1"/>
  <c r="I326" i="1"/>
  <c r="G326" i="1"/>
  <c r="E326" i="1"/>
  <c r="D326" i="1"/>
  <c r="C326" i="1"/>
  <c r="K326" i="1" s="1"/>
  <c r="AI325" i="1"/>
  <c r="AH325" i="1"/>
  <c r="N325" i="1"/>
  <c r="N336" i="1" s="1"/>
  <c r="L325" i="1"/>
  <c r="K325" i="1"/>
  <c r="G325" i="1"/>
  <c r="E325" i="1"/>
  <c r="C325" i="1"/>
  <c r="C336" i="1" s="1"/>
  <c r="D25" i="23" s="1"/>
  <c r="W292" i="1"/>
  <c r="AK291" i="1"/>
  <c r="AJ291" i="1"/>
  <c r="AG291" i="1"/>
  <c r="S292" i="1" s="1"/>
  <c r="AF291" i="1"/>
  <c r="AE291" i="1"/>
  <c r="Q292" i="1" s="1"/>
  <c r="W291" i="1"/>
  <c r="V291" i="1"/>
  <c r="V292" i="1" s="1"/>
  <c r="S291" i="1"/>
  <c r="R291" i="1"/>
  <c r="Q291" i="1"/>
  <c r="I291" i="1"/>
  <c r="H291" i="1"/>
  <c r="I28" i="23" s="1"/>
  <c r="E291" i="1"/>
  <c r="C291" i="1"/>
  <c r="AI290" i="1"/>
  <c r="AH290" i="1"/>
  <c r="AH291" i="1" s="1"/>
  <c r="U290" i="1"/>
  <c r="T290" i="1"/>
  <c r="T291" i="1" s="1"/>
  <c r="F290" i="1"/>
  <c r="F291" i="1" s="1"/>
  <c r="D291" i="1"/>
  <c r="E28" i="23" s="1"/>
  <c r="AI282" i="1"/>
  <c r="AI291" i="1" s="1"/>
  <c r="U282" i="1"/>
  <c r="U291" i="1" s="1"/>
  <c r="H94" i="3"/>
  <c r="V246" i="1"/>
  <c r="AI245" i="1"/>
  <c r="E245" i="1"/>
  <c r="AI241" i="1"/>
  <c r="AG241" i="1"/>
  <c r="AE241" i="1"/>
  <c r="AH241" i="1" s="1"/>
  <c r="AB241" i="1"/>
  <c r="Z241" i="1"/>
  <c r="Y241" i="1"/>
  <c r="N241" i="1"/>
  <c r="M241" i="1"/>
  <c r="G241" i="1"/>
  <c r="E241" i="1"/>
  <c r="L241" i="1"/>
  <c r="K241" i="1"/>
  <c r="AK240" i="1"/>
  <c r="AK245" i="1" s="1"/>
  <c r="AI240" i="1"/>
  <c r="AG240" i="1"/>
  <c r="AH240" i="1" s="1"/>
  <c r="AF240" i="1"/>
  <c r="AB240" i="1"/>
  <c r="Z240" i="1"/>
  <c r="Y240" i="1"/>
  <c r="M240" i="1"/>
  <c r="K240" i="1"/>
  <c r="I240" i="1"/>
  <c r="N240" i="1" s="1"/>
  <c r="AI239" i="1"/>
  <c r="AG239" i="1"/>
  <c r="AF239" i="1"/>
  <c r="AF245" i="1" s="1"/>
  <c r="AE239" i="1"/>
  <c r="Z239" i="1"/>
  <c r="Z245" i="1" s="1"/>
  <c r="Y239" i="1"/>
  <c r="Y245" i="1" s="1"/>
  <c r="N239" i="1"/>
  <c r="M239" i="1"/>
  <c r="G239" i="1"/>
  <c r="L239" i="1"/>
  <c r="K239" i="1"/>
  <c r="AI238" i="1"/>
  <c r="AH238" i="1"/>
  <c r="X238" i="1"/>
  <c r="K238" i="1"/>
  <c r="I238" i="1"/>
  <c r="N238" i="1" s="1"/>
  <c r="X237" i="1"/>
  <c r="N237" i="1"/>
  <c r="L237" i="1"/>
  <c r="K237" i="1"/>
  <c r="J237" i="1"/>
  <c r="AI236" i="1"/>
  <c r="AH236" i="1"/>
  <c r="X236" i="1"/>
  <c r="N236" i="1"/>
  <c r="L236" i="1"/>
  <c r="G236" i="1"/>
  <c r="F236" i="1"/>
  <c r="J236" i="1" s="1"/>
  <c r="AI235" i="1"/>
  <c r="AG235" i="1"/>
  <c r="AE235" i="1"/>
  <c r="AE245" i="1" s="1"/>
  <c r="W245" i="1"/>
  <c r="N235" i="1"/>
  <c r="I235" i="1"/>
  <c r="G235" i="1"/>
  <c r="E235" i="1"/>
  <c r="D235" i="1"/>
  <c r="C235" i="1"/>
  <c r="K235" i="1" s="1"/>
  <c r="AI234" i="1"/>
  <c r="AH234" i="1"/>
  <c r="AG234" i="1"/>
  <c r="N234" i="1"/>
  <c r="K234" i="1"/>
  <c r="D234" i="1"/>
  <c r="V199" i="1"/>
  <c r="C198" i="1"/>
  <c r="D11" i="23" s="1"/>
  <c r="AI197" i="1"/>
  <c r="AH197" i="1"/>
  <c r="AB197" i="1"/>
  <c r="AA197" i="1"/>
  <c r="Z197" i="1"/>
  <c r="N197" i="1"/>
  <c r="M197" i="1"/>
  <c r="L197" i="1"/>
  <c r="D197" i="1"/>
  <c r="G197" i="1" s="1"/>
  <c r="C197" i="1"/>
  <c r="K197" i="1" s="1"/>
  <c r="AK196" i="1"/>
  <c r="AI196" i="1"/>
  <c r="AG196" i="1"/>
  <c r="AH196" i="1" s="1"/>
  <c r="AB196" i="1"/>
  <c r="Z196" i="1"/>
  <c r="N196" i="1"/>
  <c r="I196" i="1"/>
  <c r="G196" i="1"/>
  <c r="K196" i="1"/>
  <c r="AK195" i="1"/>
  <c r="AI195" i="1"/>
  <c r="AG195" i="1"/>
  <c r="AF195" i="1"/>
  <c r="AE195" i="1"/>
  <c r="AE198" i="1" s="1"/>
  <c r="AB195" i="1"/>
  <c r="N195" i="1"/>
  <c r="I195" i="1"/>
  <c r="G195" i="1"/>
  <c r="K195" i="1"/>
  <c r="AK194" i="1"/>
  <c r="AI194" i="1"/>
  <c r="AG194" i="1"/>
  <c r="AH194" i="1" s="1"/>
  <c r="Z194" i="1"/>
  <c r="AB194" i="1"/>
  <c r="M194" i="1"/>
  <c r="K194" i="1"/>
  <c r="I194" i="1"/>
  <c r="N194" i="1" s="1"/>
  <c r="E14" i="21"/>
  <c r="D194" i="1"/>
  <c r="AH193" i="1"/>
  <c r="AF193" i="1"/>
  <c r="AI193" i="1" s="1"/>
  <c r="AB193" i="1"/>
  <c r="Z193" i="1"/>
  <c r="AA193" i="1"/>
  <c r="N193" i="1"/>
  <c r="E193" i="1"/>
  <c r="E13" i="21" s="1"/>
  <c r="D193" i="1"/>
  <c r="G193" i="1" s="1"/>
  <c r="K193" i="1"/>
  <c r="AK192" i="1"/>
  <c r="AB192" i="1" s="1"/>
  <c r="AG192" i="1"/>
  <c r="AF192" i="1"/>
  <c r="AE192" i="1"/>
  <c r="Y192" i="1"/>
  <c r="Z192" i="1"/>
  <c r="K192" i="1"/>
  <c r="I192" i="1"/>
  <c r="N192" i="1" s="1"/>
  <c r="E12" i="21"/>
  <c r="D192" i="1"/>
  <c r="AK191" i="1"/>
  <c r="AK198" i="1" s="1"/>
  <c r="AI191" i="1"/>
  <c r="AH191" i="1"/>
  <c r="AA191" i="1"/>
  <c r="Z191" i="1"/>
  <c r="N191" i="1"/>
  <c r="G191" i="1"/>
  <c r="D191" i="1"/>
  <c r="K191" i="1"/>
  <c r="AI190" i="1"/>
  <c r="AH190" i="1"/>
  <c r="AG190" i="1"/>
  <c r="AB190" i="1"/>
  <c r="Y190" i="1"/>
  <c r="Z190" i="1"/>
  <c r="K190" i="1"/>
  <c r="N190" i="1"/>
  <c r="E10" i="21"/>
  <c r="AI189" i="1"/>
  <c r="AH189" i="1"/>
  <c r="AB189" i="1"/>
  <c r="AA189" i="1"/>
  <c r="Z189" i="1"/>
  <c r="Y189" i="1"/>
  <c r="X189" i="1"/>
  <c r="N189" i="1"/>
  <c r="M189" i="1"/>
  <c r="L189" i="1"/>
  <c r="K189" i="1"/>
  <c r="G189" i="1"/>
  <c r="F189" i="1"/>
  <c r="J189" i="1" s="1"/>
  <c r="AI188" i="1"/>
  <c r="AH188" i="1"/>
  <c r="AB188" i="1"/>
  <c r="Z188" i="1"/>
  <c r="Y188" i="1"/>
  <c r="N188" i="1"/>
  <c r="L188" i="1"/>
  <c r="K188" i="1"/>
  <c r="I188" i="1"/>
  <c r="I198" i="1" s="1"/>
  <c r="G188" i="1"/>
  <c r="E188" i="1"/>
  <c r="D188" i="1"/>
  <c r="AI187" i="1"/>
  <c r="AG187" i="1"/>
  <c r="AH187" i="1" s="1"/>
  <c r="AE187" i="1"/>
  <c r="AB187" i="1"/>
  <c r="Y187" i="1"/>
  <c r="Q198" i="1"/>
  <c r="N187" i="1"/>
  <c r="L187" i="1"/>
  <c r="K187" i="1"/>
  <c r="G187" i="1"/>
  <c r="V152" i="1"/>
  <c r="AK151" i="1"/>
  <c r="AF151" i="1"/>
  <c r="AI149" i="1"/>
  <c r="AG149" i="1"/>
  <c r="AH149" i="1" s="1"/>
  <c r="AE149" i="1"/>
  <c r="AB149" i="1"/>
  <c r="Z149" i="1"/>
  <c r="Y149" i="1"/>
  <c r="N149" i="1"/>
  <c r="M149" i="1"/>
  <c r="G149" i="1"/>
  <c r="E149" i="1"/>
  <c r="L149" i="1"/>
  <c r="K149" i="1"/>
  <c r="AI148" i="1"/>
  <c r="AH148" i="1"/>
  <c r="AE148" i="1"/>
  <c r="AB148" i="1"/>
  <c r="Z148" i="1"/>
  <c r="Y148" i="1"/>
  <c r="K148" i="1"/>
  <c r="N148" i="1"/>
  <c r="G15" i="21"/>
  <c r="D148" i="1"/>
  <c r="AI146" i="1"/>
  <c r="AH146" i="1"/>
  <c r="AB146" i="1"/>
  <c r="Y146" i="1"/>
  <c r="M146" i="1"/>
  <c r="K146" i="1"/>
  <c r="I146" i="1"/>
  <c r="N146" i="1" s="1"/>
  <c r="E146" i="1"/>
  <c r="G13" i="21" s="1"/>
  <c r="D146" i="1"/>
  <c r="AG145" i="1"/>
  <c r="AF145" i="1"/>
  <c r="AI145" i="1" s="1"/>
  <c r="AE145" i="1"/>
  <c r="AE151" i="1" s="1"/>
  <c r="AB145" i="1"/>
  <c r="Z145" i="1"/>
  <c r="Y145" i="1"/>
  <c r="K145" i="1"/>
  <c r="I145" i="1"/>
  <c r="N145" i="1" s="1"/>
  <c r="G12" i="21"/>
  <c r="AI144" i="1"/>
  <c r="AH144" i="1"/>
  <c r="AB144" i="1"/>
  <c r="Z144" i="1"/>
  <c r="Y144" i="1"/>
  <c r="AA144" i="1"/>
  <c r="N144" i="1"/>
  <c r="L144" i="1"/>
  <c r="I144" i="1"/>
  <c r="G144" i="1"/>
  <c r="D144" i="1"/>
  <c r="C144" i="1"/>
  <c r="K144" i="1" s="1"/>
  <c r="AI143" i="1"/>
  <c r="AH143" i="1"/>
  <c r="AG143" i="1"/>
  <c r="AB143" i="1"/>
  <c r="Z143" i="1"/>
  <c r="AA143" i="1"/>
  <c r="M143" i="1"/>
  <c r="K143" i="1"/>
  <c r="N143" i="1"/>
  <c r="G10" i="21"/>
  <c r="C143" i="1"/>
  <c r="AI142" i="1"/>
  <c r="AH142" i="1"/>
  <c r="AA142" i="1"/>
  <c r="Z142" i="1"/>
  <c r="Y142" i="1"/>
  <c r="N142" i="1"/>
  <c r="M142" i="1"/>
  <c r="L142" i="1"/>
  <c r="K142" i="1"/>
  <c r="G142" i="1"/>
  <c r="F142" i="1"/>
  <c r="J142" i="1" s="1"/>
  <c r="AI141" i="1"/>
  <c r="AH141" i="1"/>
  <c r="Y141" i="1"/>
  <c r="W151" i="1"/>
  <c r="N141" i="1"/>
  <c r="L141" i="1"/>
  <c r="K141" i="1"/>
  <c r="I141" i="1"/>
  <c r="G141" i="1"/>
  <c r="E141" i="1"/>
  <c r="D141" i="1"/>
  <c r="AI140" i="1"/>
  <c r="AI151" i="1" s="1"/>
  <c r="AG140" i="1"/>
  <c r="Z140" i="1"/>
  <c r="AA140" i="1"/>
  <c r="Q151" i="1"/>
  <c r="Q152" i="1" s="1"/>
  <c r="N140" i="1"/>
  <c r="L140" i="1"/>
  <c r="K140" i="1"/>
  <c r="G140" i="1"/>
  <c r="V107" i="1"/>
  <c r="AF106" i="1"/>
  <c r="AI104" i="1"/>
  <c r="AH104" i="1"/>
  <c r="E104" i="1"/>
  <c r="M104" i="1" s="1"/>
  <c r="D104" i="1"/>
  <c r="G104" i="1" s="1"/>
  <c r="C104" i="1"/>
  <c r="K104" i="1" s="1"/>
  <c r="AH103" i="1"/>
  <c r="AG103" i="1"/>
  <c r="AB103" i="1"/>
  <c r="X103" i="1"/>
  <c r="AA103" i="1"/>
  <c r="N103" i="1"/>
  <c r="F103" i="1"/>
  <c r="J103" i="1" s="1"/>
  <c r="M103" i="1"/>
  <c r="AK100" i="1"/>
  <c r="AB100" i="1" s="1"/>
  <c r="AG100" i="1"/>
  <c r="AF100" i="1"/>
  <c r="AI100" i="1" s="1"/>
  <c r="AE100" i="1"/>
  <c r="AE106" i="1" s="1"/>
  <c r="Z100" i="1"/>
  <c r="Y100" i="1"/>
  <c r="K100" i="1"/>
  <c r="I100" i="1"/>
  <c r="N100" i="1" s="1"/>
  <c r="AI99" i="1"/>
  <c r="AH99" i="1"/>
  <c r="Z99" i="1"/>
  <c r="Y99" i="1"/>
  <c r="N99" i="1"/>
  <c r="L99" i="1"/>
  <c r="G99" i="1"/>
  <c r="D99" i="1"/>
  <c r="C99" i="1"/>
  <c r="K99" i="1" s="1"/>
  <c r="AI98" i="1"/>
  <c r="AH98" i="1"/>
  <c r="AG98" i="1"/>
  <c r="AG106" i="1" s="1"/>
  <c r="Q106" i="1"/>
  <c r="K98" i="1"/>
  <c r="I98" i="1"/>
  <c r="N98" i="1" s="1"/>
  <c r="E98" i="1"/>
  <c r="D98" i="1"/>
  <c r="C98" i="1"/>
  <c r="C106" i="1" s="1"/>
  <c r="AI97" i="1"/>
  <c r="AH97" i="1"/>
  <c r="N97" i="1"/>
  <c r="M97" i="1"/>
  <c r="L97" i="1"/>
  <c r="K97" i="1"/>
  <c r="G97" i="1"/>
  <c r="F97" i="1"/>
  <c r="J97" i="1" s="1"/>
  <c r="AI96" i="1"/>
  <c r="AH96" i="1"/>
  <c r="N96" i="1"/>
  <c r="L96" i="1"/>
  <c r="K96" i="1"/>
  <c r="I96" i="1"/>
  <c r="G96" i="1"/>
  <c r="E96" i="1"/>
  <c r="D96" i="1"/>
  <c r="AI95" i="1"/>
  <c r="AH95" i="1"/>
  <c r="AB95" i="1"/>
  <c r="AB106" i="1" s="1"/>
  <c r="Z95" i="1"/>
  <c r="Z106" i="1" s="1"/>
  <c r="Y95" i="1"/>
  <c r="W106" i="1"/>
  <c r="U106" i="1"/>
  <c r="R106" i="1"/>
  <c r="N95" i="1"/>
  <c r="L95" i="1"/>
  <c r="K95" i="1"/>
  <c r="G95" i="1"/>
  <c r="D95" i="1"/>
  <c r="V69" i="1"/>
  <c r="AM65" i="1"/>
  <c r="AG65" i="1"/>
  <c r="AF65" i="1"/>
  <c r="AI65" i="1" s="1"/>
  <c r="AE65" i="1"/>
  <c r="AB65" i="1"/>
  <c r="Z65" i="1"/>
  <c r="N65" i="1"/>
  <c r="G65" i="1"/>
  <c r="D65" i="1"/>
  <c r="L65" i="1" s="1"/>
  <c r="D322" i="3"/>
  <c r="AM64" i="1"/>
  <c r="AK64" i="1"/>
  <c r="AI64" i="1"/>
  <c r="AG64" i="1"/>
  <c r="AH64" i="1" s="1"/>
  <c r="AE64" i="1"/>
  <c r="AB64" i="1"/>
  <c r="Y64" i="1"/>
  <c r="Z64" i="1"/>
  <c r="N64" i="1"/>
  <c r="L64" i="1"/>
  <c r="I64" i="1"/>
  <c r="G64" i="1"/>
  <c r="C14" i="21"/>
  <c r="D64" i="1"/>
  <c r="K64" i="1"/>
  <c r="AI63" i="1"/>
  <c r="AG63" i="1"/>
  <c r="AE63" i="1"/>
  <c r="AH63" i="1" s="1"/>
  <c r="AA63" i="1"/>
  <c r="AB63" i="1"/>
  <c r="Z63" i="1"/>
  <c r="N63" i="1"/>
  <c r="L63" i="1"/>
  <c r="I63" i="1"/>
  <c r="G63" i="1"/>
  <c r="K77" i="1" s="1"/>
  <c r="C13" i="21"/>
  <c r="K63" i="1"/>
  <c r="AK62" i="1"/>
  <c r="AI62" i="1"/>
  <c r="AG62" i="1"/>
  <c r="AH62" i="1" s="1"/>
  <c r="AF62" i="1"/>
  <c r="AE62" i="1"/>
  <c r="AA62" i="1"/>
  <c r="AB62" i="1"/>
  <c r="Z62" i="1"/>
  <c r="N62" i="1"/>
  <c r="L62" i="1"/>
  <c r="G62" i="1"/>
  <c r="K76" i="1" s="1"/>
  <c r="C12" i="21"/>
  <c r="K62" i="1"/>
  <c r="AK61" i="1"/>
  <c r="AI61" i="1"/>
  <c r="AG61" i="1"/>
  <c r="AH61" i="1" s="1"/>
  <c r="AF61" i="1"/>
  <c r="AE61" i="1"/>
  <c r="AA61" i="1"/>
  <c r="AB61" i="1"/>
  <c r="Z61" i="1"/>
  <c r="N61" i="1"/>
  <c r="L61" i="1"/>
  <c r="G61" i="1"/>
  <c r="C11" i="21"/>
  <c r="K61" i="1"/>
  <c r="AK60" i="1"/>
  <c r="AI60" i="1"/>
  <c r="AG60" i="1"/>
  <c r="AH60" i="1" s="1"/>
  <c r="AF60" i="1"/>
  <c r="AE60" i="1"/>
  <c r="AA60" i="1"/>
  <c r="AB60" i="1"/>
  <c r="Z60" i="1"/>
  <c r="N60" i="1"/>
  <c r="L60" i="1"/>
  <c r="G60" i="1"/>
  <c r="E60" i="1"/>
  <c r="C10" i="21" s="1"/>
  <c r="D60" i="1"/>
  <c r="K60" i="1"/>
  <c r="AK59" i="1"/>
  <c r="AI59" i="1"/>
  <c r="AG59" i="1"/>
  <c r="AH59" i="1" s="1"/>
  <c r="AF59" i="1"/>
  <c r="AE59" i="1"/>
  <c r="AA59" i="1"/>
  <c r="AB59" i="1"/>
  <c r="Z59" i="1"/>
  <c r="N59" i="1"/>
  <c r="L59" i="1"/>
  <c r="G59" i="1"/>
  <c r="C9" i="21"/>
  <c r="K59" i="1"/>
  <c r="AK58" i="1"/>
  <c r="AI58" i="1"/>
  <c r="AG58" i="1"/>
  <c r="AH58" i="1" s="1"/>
  <c r="AF58" i="1"/>
  <c r="AE58" i="1"/>
  <c r="AA58" i="1"/>
  <c r="AB58" i="1"/>
  <c r="Z58" i="1"/>
  <c r="N58" i="1"/>
  <c r="L58" i="1"/>
  <c r="G58" i="1"/>
  <c r="K72" i="1" s="1"/>
  <c r="C8" i="21"/>
  <c r="K58" i="1"/>
  <c r="AM57" i="1"/>
  <c r="AK57" i="1"/>
  <c r="AK68" i="1" s="1"/>
  <c r="AI57" i="1"/>
  <c r="AG57" i="1"/>
  <c r="AH57" i="1" s="1"/>
  <c r="AE57" i="1"/>
  <c r="AE68" i="1" s="1"/>
  <c r="AB57" i="1"/>
  <c r="Y57" i="1"/>
  <c r="M57" i="1"/>
  <c r="K57" i="1"/>
  <c r="I68" i="1"/>
  <c r="I69" i="1" s="1"/>
  <c r="C7" i="21"/>
  <c r="D68" i="1"/>
  <c r="D69" i="1" s="1"/>
  <c r="M28" i="1"/>
  <c r="V22" i="1"/>
  <c r="AK20" i="1"/>
  <c r="AI20" i="1"/>
  <c r="AG20" i="1"/>
  <c r="AH20" i="1" s="1"/>
  <c r="AA20" i="1"/>
  <c r="Y20" i="1"/>
  <c r="AB20" i="1"/>
  <c r="Z20" i="1"/>
  <c r="N20" i="1"/>
  <c r="L20" i="1"/>
  <c r="I20" i="1"/>
  <c r="G20" i="1"/>
  <c r="E20" i="1"/>
  <c r="D17" i="21" s="1"/>
  <c r="D20" i="1"/>
  <c r="C20" i="1"/>
  <c r="K20" i="1" s="1"/>
  <c r="AK19" i="1"/>
  <c r="AI19" i="1"/>
  <c r="AG19" i="1"/>
  <c r="AH19" i="1" s="1"/>
  <c r="AE19" i="1"/>
  <c r="AB19" i="1"/>
  <c r="Z19" i="1"/>
  <c r="AA19" i="1"/>
  <c r="Y19" i="1"/>
  <c r="M19" i="1"/>
  <c r="K19" i="1"/>
  <c r="I19" i="1"/>
  <c r="N19" i="1" s="1"/>
  <c r="E19" i="1"/>
  <c r="D16" i="21" s="1"/>
  <c r="D19" i="1"/>
  <c r="L19" i="1" s="1"/>
  <c r="C19" i="1"/>
  <c r="AK15" i="1"/>
  <c r="AG15" i="1"/>
  <c r="AF15" i="1"/>
  <c r="AI15" i="1" s="1"/>
  <c r="AE15" i="1"/>
  <c r="AB15" i="1"/>
  <c r="Z15" i="1"/>
  <c r="AA15" i="1"/>
  <c r="Y15" i="1"/>
  <c r="M15" i="1"/>
  <c r="K15" i="1"/>
  <c r="N15" i="1"/>
  <c r="D12" i="21"/>
  <c r="L15" i="1"/>
  <c r="AK14" i="1"/>
  <c r="AI14" i="1"/>
  <c r="AH14" i="1"/>
  <c r="AG14" i="1"/>
  <c r="Z14" i="1"/>
  <c r="Y14" i="1"/>
  <c r="M14" i="1"/>
  <c r="K14" i="1"/>
  <c r="N14" i="1"/>
  <c r="D11" i="21"/>
  <c r="D14" i="1"/>
  <c r="L14" i="1" s="1"/>
  <c r="C14" i="1"/>
  <c r="AI13" i="1"/>
  <c r="AG13" i="1"/>
  <c r="AH13" i="1" s="1"/>
  <c r="AA13" i="1"/>
  <c r="Y13" i="1"/>
  <c r="AB13" i="1"/>
  <c r="Z13" i="1"/>
  <c r="N13" i="1"/>
  <c r="L13" i="1"/>
  <c r="I13" i="1"/>
  <c r="G13" i="1"/>
  <c r="H130" i="3" s="1"/>
  <c r="D10" i="21"/>
  <c r="C13" i="1"/>
  <c r="K13" i="1" s="1"/>
  <c r="AK12" i="1"/>
  <c r="AI12" i="1"/>
  <c r="AG12" i="1"/>
  <c r="AH12" i="1" s="1"/>
  <c r="AF12" i="1"/>
  <c r="AF21" i="1" s="1"/>
  <c r="AI21" i="1" s="1"/>
  <c r="AE12" i="1"/>
  <c r="AE21" i="1" s="1"/>
  <c r="AA12" i="1"/>
  <c r="Y12" i="1"/>
  <c r="AB12" i="1"/>
  <c r="Z12" i="1"/>
  <c r="N12" i="1"/>
  <c r="L12" i="1"/>
  <c r="G12" i="1"/>
  <c r="H91" i="3" s="1"/>
  <c r="D9" i="21"/>
  <c r="C12" i="1"/>
  <c r="K12" i="1" s="1"/>
  <c r="AI11" i="1"/>
  <c r="AH11" i="1"/>
  <c r="AG11" i="1"/>
  <c r="AB11" i="1"/>
  <c r="Z11" i="1"/>
  <c r="AA11" i="1"/>
  <c r="Q21" i="1"/>
  <c r="M11" i="1"/>
  <c r="K11" i="1"/>
  <c r="N11" i="1"/>
  <c r="D8" i="21"/>
  <c r="L11" i="1"/>
  <c r="AK10" i="1"/>
  <c r="AK21" i="1" s="1"/>
  <c r="AI10" i="1"/>
  <c r="AH10" i="1"/>
  <c r="AG10" i="1"/>
  <c r="AB10" i="1"/>
  <c r="Z10" i="1"/>
  <c r="Y10" i="1"/>
  <c r="S21" i="1"/>
  <c r="M10" i="1"/>
  <c r="K10" i="1"/>
  <c r="I21" i="1"/>
  <c r="D7" i="21"/>
  <c r="D21" i="1"/>
  <c r="C10" i="1"/>
  <c r="E25" i="19"/>
  <c r="C25" i="19"/>
  <c r="F25" i="19" s="1"/>
  <c r="H22" i="19"/>
  <c r="E22" i="19"/>
  <c r="C22" i="19"/>
  <c r="C24" i="19"/>
  <c r="E23" i="19"/>
  <c r="C21" i="19"/>
  <c r="H17" i="19"/>
  <c r="E17" i="19"/>
  <c r="C17" i="19"/>
  <c r="I15" i="19"/>
  <c r="H15" i="19"/>
  <c r="E15" i="19"/>
  <c r="C15" i="19"/>
  <c r="D18" i="19"/>
  <c r="G18" i="19" s="1"/>
  <c r="C20" i="19"/>
  <c r="I13" i="19"/>
  <c r="C13" i="19"/>
  <c r="F13" i="19" s="1"/>
  <c r="E19" i="19"/>
  <c r="C10" i="19"/>
  <c r="J414" i="3"/>
  <c r="I414" i="3"/>
  <c r="F414" i="3"/>
  <c r="E414" i="3"/>
  <c r="D414" i="3"/>
  <c r="J413" i="3"/>
  <c r="I413" i="3"/>
  <c r="F413" i="3"/>
  <c r="E413" i="3"/>
  <c r="D413" i="3"/>
  <c r="J412" i="3"/>
  <c r="I412" i="3"/>
  <c r="H412" i="3" s="1"/>
  <c r="F412" i="3"/>
  <c r="E412" i="3"/>
  <c r="G412" i="3" s="1"/>
  <c r="D412" i="3"/>
  <c r="J411" i="3"/>
  <c r="I411" i="3"/>
  <c r="H411" i="3"/>
  <c r="F411" i="3"/>
  <c r="E411" i="3"/>
  <c r="D411" i="3"/>
  <c r="J410" i="3"/>
  <c r="I410" i="3"/>
  <c r="F410" i="3"/>
  <c r="E410" i="3"/>
  <c r="D410" i="3"/>
  <c r="J409" i="3"/>
  <c r="I409" i="3"/>
  <c r="F409" i="3"/>
  <c r="E409" i="3"/>
  <c r="D409" i="3"/>
  <c r="J408" i="3"/>
  <c r="I408" i="3"/>
  <c r="F408" i="3"/>
  <c r="E408" i="3"/>
  <c r="D408" i="3"/>
  <c r="G407" i="3"/>
  <c r="J406" i="3"/>
  <c r="I406" i="3"/>
  <c r="F406" i="3"/>
  <c r="E406" i="3"/>
  <c r="D406" i="3"/>
  <c r="J405" i="3"/>
  <c r="I405" i="3"/>
  <c r="F405" i="3"/>
  <c r="E405" i="3"/>
  <c r="D405" i="3"/>
  <c r="J404" i="3"/>
  <c r="I404" i="3"/>
  <c r="F404" i="3"/>
  <c r="E404" i="3"/>
  <c r="D404" i="3"/>
  <c r="J403" i="3"/>
  <c r="I403" i="3"/>
  <c r="F403" i="3"/>
  <c r="E403" i="3"/>
  <c r="D403" i="3"/>
  <c r="G403" i="3" s="1"/>
  <c r="J402" i="3"/>
  <c r="I402" i="3"/>
  <c r="F402" i="3"/>
  <c r="E402" i="3"/>
  <c r="G402" i="3" s="1"/>
  <c r="D402" i="3"/>
  <c r="J401" i="3"/>
  <c r="I401" i="3"/>
  <c r="F401" i="3"/>
  <c r="E401" i="3"/>
  <c r="D401" i="3"/>
  <c r="J400" i="3"/>
  <c r="I400" i="3"/>
  <c r="E400" i="3"/>
  <c r="J376" i="3"/>
  <c r="I376" i="3"/>
  <c r="F376" i="3"/>
  <c r="E376" i="3"/>
  <c r="D376" i="3"/>
  <c r="J375" i="3"/>
  <c r="I375" i="3"/>
  <c r="F375" i="3"/>
  <c r="E375" i="3"/>
  <c r="D375" i="3"/>
  <c r="J374" i="3"/>
  <c r="I374" i="3"/>
  <c r="H374" i="3"/>
  <c r="F374" i="3"/>
  <c r="E374" i="3"/>
  <c r="D374" i="3"/>
  <c r="J373" i="3"/>
  <c r="I373" i="3"/>
  <c r="E373" i="3"/>
  <c r="J372" i="3"/>
  <c r="I372" i="3"/>
  <c r="F372" i="3"/>
  <c r="E372" i="3"/>
  <c r="D372" i="3"/>
  <c r="J371" i="3"/>
  <c r="I371" i="3"/>
  <c r="F371" i="3"/>
  <c r="E371" i="3"/>
  <c r="D371" i="3"/>
  <c r="G370" i="3"/>
  <c r="G369" i="3"/>
  <c r="J368" i="3"/>
  <c r="I368" i="3"/>
  <c r="F368" i="3"/>
  <c r="D368" i="3"/>
  <c r="J366" i="3"/>
  <c r="I366" i="3"/>
  <c r="F366" i="3"/>
  <c r="E366" i="3"/>
  <c r="G366" i="3" s="1"/>
  <c r="D366" i="3"/>
  <c r="J365" i="3"/>
  <c r="I365" i="3"/>
  <c r="H365" i="3"/>
  <c r="F365" i="3"/>
  <c r="E365" i="3"/>
  <c r="D365" i="3"/>
  <c r="J364" i="3"/>
  <c r="I364" i="3"/>
  <c r="F364" i="3"/>
  <c r="E364" i="3"/>
  <c r="H364" i="3" s="1"/>
  <c r="D364" i="3"/>
  <c r="J363" i="3"/>
  <c r="I363" i="3"/>
  <c r="F363" i="3"/>
  <c r="E363" i="3"/>
  <c r="D363" i="3"/>
  <c r="J362" i="3"/>
  <c r="I362" i="3"/>
  <c r="F362" i="3"/>
  <c r="D362" i="3"/>
  <c r="J335" i="3"/>
  <c r="I335" i="3"/>
  <c r="F335" i="3"/>
  <c r="E335" i="3"/>
  <c r="D335" i="3"/>
  <c r="J334" i="3"/>
  <c r="I334" i="3"/>
  <c r="F334" i="3"/>
  <c r="E334" i="3"/>
  <c r="D334" i="3"/>
  <c r="J333" i="3"/>
  <c r="I333" i="3"/>
  <c r="F333" i="3"/>
  <c r="E333" i="3"/>
  <c r="D333" i="3"/>
  <c r="J332" i="3"/>
  <c r="I332" i="3"/>
  <c r="F332" i="3"/>
  <c r="E332" i="3"/>
  <c r="D332" i="3"/>
  <c r="J331" i="3"/>
  <c r="I331" i="3"/>
  <c r="F331" i="3"/>
  <c r="E331" i="3"/>
  <c r="D331" i="3"/>
  <c r="J330" i="3"/>
  <c r="I330" i="3"/>
  <c r="F330" i="3"/>
  <c r="E330" i="3"/>
  <c r="D330" i="3"/>
  <c r="J329" i="3"/>
  <c r="I329" i="3"/>
  <c r="F329" i="3"/>
  <c r="E329" i="3"/>
  <c r="D329" i="3"/>
  <c r="J327" i="3"/>
  <c r="I327" i="3"/>
  <c r="F327" i="3"/>
  <c r="G327" i="3" s="1"/>
  <c r="E327" i="3"/>
  <c r="D327" i="3"/>
  <c r="G326" i="3"/>
  <c r="J325" i="3"/>
  <c r="I325" i="3"/>
  <c r="F325" i="3"/>
  <c r="D325" i="3"/>
  <c r="J324" i="3"/>
  <c r="I324" i="3"/>
  <c r="F324" i="3"/>
  <c r="E324" i="3"/>
  <c r="D324" i="3"/>
  <c r="J323" i="3"/>
  <c r="I323" i="3"/>
  <c r="F323" i="3"/>
  <c r="E323" i="3"/>
  <c r="H323" i="3" s="1"/>
  <c r="D323" i="3"/>
  <c r="J322" i="3"/>
  <c r="I322" i="3"/>
  <c r="E322" i="3"/>
  <c r="J321" i="3"/>
  <c r="F321" i="3"/>
  <c r="E321" i="3"/>
  <c r="D321" i="3"/>
  <c r="J296" i="3"/>
  <c r="I296" i="3"/>
  <c r="F296" i="3"/>
  <c r="E296" i="3"/>
  <c r="G296" i="3" s="1"/>
  <c r="D296" i="3"/>
  <c r="J295" i="3"/>
  <c r="I295" i="3"/>
  <c r="F295" i="3"/>
  <c r="E295" i="3"/>
  <c r="G295" i="3" s="1"/>
  <c r="D295" i="3"/>
  <c r="J294" i="3"/>
  <c r="I294" i="3"/>
  <c r="F294" i="3"/>
  <c r="E294" i="3"/>
  <c r="G294" i="3" s="1"/>
  <c r="J293" i="3"/>
  <c r="I293" i="3"/>
  <c r="F293" i="3"/>
  <c r="E293" i="3"/>
  <c r="D293" i="3"/>
  <c r="G293" i="3" s="1"/>
  <c r="J292" i="3"/>
  <c r="I292" i="3"/>
  <c r="F292" i="3"/>
  <c r="E292" i="3"/>
  <c r="D292" i="3"/>
  <c r="G292" i="3" s="1"/>
  <c r="J291" i="3"/>
  <c r="I291" i="3"/>
  <c r="F291" i="3"/>
  <c r="E291" i="3"/>
  <c r="G291" i="3" s="1"/>
  <c r="D291" i="3"/>
  <c r="J290" i="3"/>
  <c r="I290" i="3"/>
  <c r="H290" i="3"/>
  <c r="E290" i="3"/>
  <c r="D290" i="3"/>
  <c r="G290" i="3" s="1"/>
  <c r="J289" i="3"/>
  <c r="I289" i="3"/>
  <c r="H289" i="3"/>
  <c r="F289" i="3"/>
  <c r="E289" i="3"/>
  <c r="D289" i="3"/>
  <c r="J288" i="3"/>
  <c r="I288" i="3"/>
  <c r="F288" i="3"/>
  <c r="E288" i="3"/>
  <c r="D288" i="3"/>
  <c r="G287" i="3"/>
  <c r="J286" i="3"/>
  <c r="I286" i="3"/>
  <c r="F286" i="3"/>
  <c r="E286" i="3"/>
  <c r="D286" i="3"/>
  <c r="G285" i="3"/>
  <c r="I284" i="3"/>
  <c r="H284" i="3" s="1"/>
  <c r="F284" i="3"/>
  <c r="E284" i="3"/>
  <c r="D284" i="3"/>
  <c r="J283" i="3"/>
  <c r="I283" i="3"/>
  <c r="H283" i="3"/>
  <c r="F283" i="3"/>
  <c r="E283" i="3"/>
  <c r="D283" i="3"/>
  <c r="G283" i="3" s="1"/>
  <c r="J282" i="3"/>
  <c r="I282" i="3"/>
  <c r="F282" i="3"/>
  <c r="E282" i="3"/>
  <c r="D282" i="3"/>
  <c r="J258" i="3"/>
  <c r="I258" i="3"/>
  <c r="F258" i="3"/>
  <c r="E258" i="3"/>
  <c r="D258" i="3"/>
  <c r="J257" i="3"/>
  <c r="I257" i="3"/>
  <c r="F257" i="3"/>
  <c r="E257" i="3"/>
  <c r="D257" i="3"/>
  <c r="J256" i="3"/>
  <c r="I256" i="3"/>
  <c r="F256" i="3"/>
  <c r="E256" i="3"/>
  <c r="D256" i="3"/>
  <c r="J255" i="3"/>
  <c r="I255" i="3"/>
  <c r="F255" i="3"/>
  <c r="E255" i="3"/>
  <c r="D255" i="3"/>
  <c r="J254" i="3"/>
  <c r="I254" i="3"/>
  <c r="F254" i="3"/>
  <c r="E254" i="3"/>
  <c r="D254" i="3"/>
  <c r="I253" i="3"/>
  <c r="F253" i="3"/>
  <c r="E253" i="3"/>
  <c r="D253" i="3"/>
  <c r="J252" i="3"/>
  <c r="I252" i="3"/>
  <c r="F252" i="3"/>
  <c r="E252" i="3"/>
  <c r="D252" i="3"/>
  <c r="J251" i="3"/>
  <c r="I251" i="3"/>
  <c r="H251" i="3"/>
  <c r="G251" i="3"/>
  <c r="F251" i="3"/>
  <c r="E251" i="3"/>
  <c r="D251" i="3"/>
  <c r="J250" i="3"/>
  <c r="I250" i="3"/>
  <c r="F250" i="3"/>
  <c r="E250" i="3"/>
  <c r="D250" i="3"/>
  <c r="J249" i="3"/>
  <c r="I249" i="3"/>
  <c r="E249" i="3"/>
  <c r="D249" i="3"/>
  <c r="J248" i="3"/>
  <c r="I248" i="3"/>
  <c r="H248" i="3" s="1"/>
  <c r="F248" i="3"/>
  <c r="E248" i="3"/>
  <c r="G248" i="3" s="1"/>
  <c r="D248" i="3"/>
  <c r="J247" i="3"/>
  <c r="I247" i="3"/>
  <c r="H247" i="3"/>
  <c r="G247" i="3"/>
  <c r="F247" i="3"/>
  <c r="E247" i="3"/>
  <c r="D247" i="3"/>
  <c r="J246" i="3"/>
  <c r="I246" i="3"/>
  <c r="F246" i="3"/>
  <c r="E246" i="3"/>
  <c r="D246" i="3"/>
  <c r="J245" i="3"/>
  <c r="I245" i="3"/>
  <c r="F245" i="3"/>
  <c r="E245" i="3"/>
  <c r="H245" i="3" s="1"/>
  <c r="D245" i="3"/>
  <c r="J244" i="3"/>
  <c r="I244" i="3"/>
  <c r="H244" i="3"/>
  <c r="G244" i="3"/>
  <c r="F244" i="3"/>
  <c r="E244" i="3"/>
  <c r="D244" i="3"/>
  <c r="J221" i="3"/>
  <c r="I221" i="3"/>
  <c r="H221" i="3"/>
  <c r="G221" i="3"/>
  <c r="F221" i="3"/>
  <c r="E221" i="3"/>
  <c r="D221" i="3"/>
  <c r="J220" i="3"/>
  <c r="I220" i="3"/>
  <c r="H220" i="3"/>
  <c r="G220" i="3"/>
  <c r="F220" i="3"/>
  <c r="E220" i="3"/>
  <c r="D220" i="3"/>
  <c r="J219" i="3"/>
  <c r="I219" i="3"/>
  <c r="H219" i="3"/>
  <c r="G219" i="3"/>
  <c r="F219" i="3"/>
  <c r="E219" i="3"/>
  <c r="D219" i="3"/>
  <c r="J218" i="3"/>
  <c r="I218" i="3"/>
  <c r="H218" i="3"/>
  <c r="G218" i="3"/>
  <c r="F218" i="3"/>
  <c r="E218" i="3"/>
  <c r="D218" i="3"/>
  <c r="J217" i="3"/>
  <c r="I217" i="3"/>
  <c r="H217" i="3"/>
  <c r="G217" i="3"/>
  <c r="F217" i="3"/>
  <c r="E217" i="3"/>
  <c r="D217" i="3"/>
  <c r="J216" i="3"/>
  <c r="I216" i="3"/>
  <c r="H216" i="3"/>
  <c r="G216" i="3"/>
  <c r="F216" i="3"/>
  <c r="E216" i="3"/>
  <c r="D216" i="3"/>
  <c r="J215" i="3"/>
  <c r="I215" i="3"/>
  <c r="F215" i="3"/>
  <c r="E215" i="3"/>
  <c r="H215" i="3" s="1"/>
  <c r="D215" i="3"/>
  <c r="J214" i="3"/>
  <c r="I214" i="3"/>
  <c r="H214" i="3"/>
  <c r="G214" i="3"/>
  <c r="F214" i="3"/>
  <c r="E214" i="3"/>
  <c r="D214" i="3"/>
  <c r="J213" i="3"/>
  <c r="I213" i="3"/>
  <c r="H213" i="3"/>
  <c r="G213" i="3"/>
  <c r="F213" i="3"/>
  <c r="E213" i="3"/>
  <c r="D213" i="3"/>
  <c r="J212" i="3"/>
  <c r="I212" i="3"/>
  <c r="F212" i="3"/>
  <c r="E212" i="3"/>
  <c r="D212" i="3"/>
  <c r="J211" i="3"/>
  <c r="I211" i="3"/>
  <c r="H211" i="3"/>
  <c r="G211" i="3"/>
  <c r="F211" i="3"/>
  <c r="E211" i="3"/>
  <c r="D211" i="3"/>
  <c r="J210" i="3"/>
  <c r="I210" i="3"/>
  <c r="F210" i="3"/>
  <c r="E210" i="3"/>
  <c r="D210" i="3"/>
  <c r="J209" i="3"/>
  <c r="I209" i="3"/>
  <c r="H209" i="3"/>
  <c r="G209" i="3"/>
  <c r="F209" i="3"/>
  <c r="E209" i="3"/>
  <c r="D209" i="3"/>
  <c r="J208" i="3"/>
  <c r="I208" i="3"/>
  <c r="H208" i="3" s="1"/>
  <c r="F208" i="3"/>
  <c r="E208" i="3"/>
  <c r="D208" i="3"/>
  <c r="J207" i="3"/>
  <c r="I207" i="3"/>
  <c r="F207" i="3"/>
  <c r="E207" i="3"/>
  <c r="H207" i="3" s="1"/>
  <c r="D207" i="3"/>
  <c r="I206" i="3"/>
  <c r="F206" i="3"/>
  <c r="E206" i="3"/>
  <c r="D206" i="3"/>
  <c r="D105" i="3"/>
  <c r="J104" i="3"/>
  <c r="I104" i="3"/>
  <c r="F104" i="3"/>
  <c r="E104" i="3"/>
  <c r="D104" i="3"/>
  <c r="J66" i="3"/>
  <c r="I66" i="3"/>
  <c r="G66" i="3"/>
  <c r="F66" i="3"/>
  <c r="J65" i="3"/>
  <c r="I65" i="3"/>
  <c r="F65" i="3"/>
  <c r="E65" i="3"/>
  <c r="D65" i="3"/>
  <c r="D64" i="3"/>
  <c r="J63" i="3"/>
  <c r="I63" i="3"/>
  <c r="F63" i="3"/>
  <c r="E63" i="3"/>
  <c r="D63" i="3"/>
  <c r="J62" i="3"/>
  <c r="I62" i="3"/>
  <c r="F62" i="3"/>
  <c r="E62" i="3"/>
  <c r="D62" i="3"/>
  <c r="I61" i="3"/>
  <c r="H61" i="3" s="1"/>
  <c r="I60" i="3"/>
  <c r="H59" i="3"/>
  <c r="G59" i="3"/>
  <c r="J58" i="3"/>
  <c r="I58" i="3"/>
  <c r="H58" i="3"/>
  <c r="G58" i="3"/>
  <c r="F58" i="3"/>
  <c r="E58" i="3"/>
  <c r="D58" i="3"/>
  <c r="I57" i="3"/>
  <c r="G57" i="3"/>
  <c r="H56" i="3"/>
  <c r="G56" i="3"/>
  <c r="I55" i="3"/>
  <c r="H55" i="3" s="1"/>
  <c r="H54" i="3"/>
  <c r="G54" i="3"/>
  <c r="I53" i="3"/>
  <c r="I52" i="3"/>
  <c r="H52" i="3"/>
  <c r="I51" i="3"/>
  <c r="H51" i="3" s="1"/>
  <c r="H20" i="3"/>
  <c r="G20" i="3"/>
  <c r="H16" i="3"/>
  <c r="N381" i="1" l="1"/>
  <c r="W621" i="1"/>
  <c r="S621" i="1"/>
  <c r="W582" i="1"/>
  <c r="I582" i="1"/>
  <c r="Q582" i="1"/>
  <c r="W500" i="1"/>
  <c r="I500" i="1"/>
  <c r="D18" i="14"/>
  <c r="G462" i="1"/>
  <c r="W462" i="1"/>
  <c r="I462" i="1"/>
  <c r="G289" i="3"/>
  <c r="S462" i="1"/>
  <c r="R425" i="1"/>
  <c r="D22" i="23"/>
  <c r="C425" i="1"/>
  <c r="F22" i="23"/>
  <c r="E425" i="1"/>
  <c r="I22" i="23"/>
  <c r="H425" i="1"/>
  <c r="H329" i="3"/>
  <c r="Q382" i="1"/>
  <c r="C382" i="1"/>
  <c r="D13" i="14"/>
  <c r="G382" i="1"/>
  <c r="U382" i="1"/>
  <c r="W382" i="1"/>
  <c r="D13" i="13"/>
  <c r="W337" i="1"/>
  <c r="I337" i="1"/>
  <c r="W246" i="1"/>
  <c r="I246" i="1"/>
  <c r="G286" i="3"/>
  <c r="W152" i="1"/>
  <c r="AB151" i="1"/>
  <c r="G499" i="1"/>
  <c r="G500" i="1" s="1"/>
  <c r="D500" i="1"/>
  <c r="C107" i="1"/>
  <c r="H29" i="23"/>
  <c r="K73" i="1"/>
  <c r="H92" i="3"/>
  <c r="G284" i="3"/>
  <c r="F24" i="23"/>
  <c r="G215" i="3"/>
  <c r="H212" i="3"/>
  <c r="G210" i="3"/>
  <c r="C199" i="1"/>
  <c r="G206" i="3"/>
  <c r="K106" i="1"/>
  <c r="G288" i="3"/>
  <c r="K21" i="1"/>
  <c r="Z22" i="1"/>
  <c r="L6" i="1"/>
  <c r="Q22" i="1"/>
  <c r="N198" i="1"/>
  <c r="H656" i="1"/>
  <c r="D29" i="23"/>
  <c r="G29" i="23" s="1"/>
  <c r="F655" i="1"/>
  <c r="F656" i="1" s="1"/>
  <c r="G27" i="3"/>
  <c r="J28" i="23"/>
  <c r="H403" i="3"/>
  <c r="N245" i="1"/>
  <c r="F581" i="1"/>
  <c r="G143" i="3"/>
  <c r="J573" i="1"/>
  <c r="J581" i="1"/>
  <c r="H14" i="21"/>
  <c r="G374" i="3"/>
  <c r="H621" i="1"/>
  <c r="H13" i="21"/>
  <c r="G208" i="3"/>
  <c r="G212" i="3"/>
  <c r="G246" i="3"/>
  <c r="G253" i="3"/>
  <c r="K151" i="1"/>
  <c r="K198" i="1"/>
  <c r="H12" i="21"/>
  <c r="G581" i="1"/>
  <c r="F27" i="14"/>
  <c r="N17" i="13"/>
  <c r="F17" i="13"/>
  <c r="H28" i="23"/>
  <c r="J19" i="13"/>
  <c r="J17" i="13"/>
  <c r="F19" i="13"/>
  <c r="N19" i="13"/>
  <c r="H26" i="14"/>
  <c r="J26" i="14" s="1"/>
  <c r="E30" i="14"/>
  <c r="I14" i="19"/>
  <c r="G14" i="3"/>
  <c r="I19" i="19"/>
  <c r="D24" i="19"/>
  <c r="G24" i="19" s="1"/>
  <c r="D14" i="14"/>
  <c r="V108" i="1"/>
  <c r="D14" i="13"/>
  <c r="H22" i="14"/>
  <c r="J22" i="14" s="1"/>
  <c r="H15" i="14"/>
  <c r="J15" i="14" s="1"/>
  <c r="H14" i="3"/>
  <c r="G52" i="3"/>
  <c r="G207" i="3"/>
  <c r="H322" i="3"/>
  <c r="G323" i="3"/>
  <c r="H373" i="3"/>
  <c r="H400" i="3"/>
  <c r="G411" i="3"/>
  <c r="I10" i="19"/>
  <c r="D10" i="19"/>
  <c r="G10" i="19" s="1"/>
  <c r="I11" i="19"/>
  <c r="D15" i="19"/>
  <c r="G15" i="19" s="1"/>
  <c r="D17" i="19"/>
  <c r="F17" i="19" s="1"/>
  <c r="D21" i="19"/>
  <c r="G21" i="19" s="1"/>
  <c r="I21" i="19"/>
  <c r="I24" i="19"/>
  <c r="G16" i="3"/>
  <c r="G53" i="3"/>
  <c r="G55" i="3"/>
  <c r="H57" i="3"/>
  <c r="H60" i="3"/>
  <c r="G61" i="3"/>
  <c r="H206" i="3"/>
  <c r="H210" i="3"/>
  <c r="G245" i="3"/>
  <c r="H246" i="3"/>
  <c r="H253" i="3"/>
  <c r="H291" i="3"/>
  <c r="G364" i="3"/>
  <c r="H366" i="3"/>
  <c r="H402" i="3"/>
  <c r="G60" i="3"/>
  <c r="D13" i="19"/>
  <c r="H13" i="19"/>
  <c r="G13" i="19"/>
  <c r="I20" i="19"/>
  <c r="C18" i="19"/>
  <c r="C23" i="19"/>
  <c r="I23" i="19"/>
  <c r="E24" i="19"/>
  <c r="E10" i="23"/>
  <c r="H10" i="23" s="1"/>
  <c r="G21" i="1"/>
  <c r="AB22" i="1"/>
  <c r="Q107" i="1"/>
  <c r="T292" i="1"/>
  <c r="I22" i="19"/>
  <c r="D25" i="19"/>
  <c r="I25" i="19"/>
  <c r="F10" i="1"/>
  <c r="G12" i="3" s="1"/>
  <c r="F11" i="1"/>
  <c r="X12" i="1"/>
  <c r="X13" i="1"/>
  <c r="F14" i="1"/>
  <c r="AA14" i="1"/>
  <c r="F15" i="1"/>
  <c r="AH15" i="1"/>
  <c r="AH21" i="1" s="1"/>
  <c r="F19" i="1"/>
  <c r="X20" i="1"/>
  <c r="C21" i="1"/>
  <c r="C22" i="1" s="1"/>
  <c r="E21" i="1"/>
  <c r="E22" i="1" s="1"/>
  <c r="R21" i="1"/>
  <c r="D22" i="1" s="1"/>
  <c r="W21" i="1"/>
  <c r="AG21" i="1"/>
  <c r="S22" i="1" s="1"/>
  <c r="F57" i="1"/>
  <c r="G13" i="3" s="1"/>
  <c r="J12" i="23"/>
  <c r="Q69" i="1"/>
  <c r="Z57" i="1"/>
  <c r="Z68" i="1" s="1"/>
  <c r="AB68" i="1"/>
  <c r="Y58" i="1"/>
  <c r="AM58" i="1"/>
  <c r="H9" i="21"/>
  <c r="Y59" i="1"/>
  <c r="AM59" i="1"/>
  <c r="H10" i="21"/>
  <c r="Y60" i="1"/>
  <c r="AM60" i="1"/>
  <c r="Y61" i="1"/>
  <c r="AM61" i="1"/>
  <c r="Y62" i="1"/>
  <c r="AM62" i="1"/>
  <c r="Y63" i="1"/>
  <c r="AM63" i="1"/>
  <c r="C15" i="21"/>
  <c r="F65" i="1"/>
  <c r="K65" i="1"/>
  <c r="K68" i="1" s="1"/>
  <c r="AH65" i="1"/>
  <c r="AH68" i="1" s="1"/>
  <c r="C68" i="1"/>
  <c r="C69" i="1" s="1"/>
  <c r="G68" i="1"/>
  <c r="G69" i="1" s="1"/>
  <c r="AG68" i="1"/>
  <c r="S69" i="1" s="1"/>
  <c r="C14" i="14"/>
  <c r="C14" i="13"/>
  <c r="R107" i="1"/>
  <c r="L98" i="1"/>
  <c r="G98" i="1"/>
  <c r="G106" i="1" s="1"/>
  <c r="G107" i="1" s="1"/>
  <c r="F98" i="1"/>
  <c r="L100" i="1"/>
  <c r="G100" i="1"/>
  <c r="F100" i="1"/>
  <c r="AA100" i="1"/>
  <c r="F104" i="1"/>
  <c r="L104" i="1"/>
  <c r="AK106" i="1"/>
  <c r="W107" i="1" s="1"/>
  <c r="G7" i="21"/>
  <c r="E151" i="1"/>
  <c r="F140" i="1"/>
  <c r="M140" i="1"/>
  <c r="G8" i="21"/>
  <c r="H8" i="21" s="1"/>
  <c r="M141" i="1"/>
  <c r="F141" i="1"/>
  <c r="J141" i="1" s="1"/>
  <c r="AA141" i="1"/>
  <c r="G11" i="21"/>
  <c r="M144" i="1"/>
  <c r="F144" i="1"/>
  <c r="L145" i="1"/>
  <c r="G145" i="1"/>
  <c r="F145" i="1"/>
  <c r="AA145" i="1"/>
  <c r="L146" i="1"/>
  <c r="G146" i="1"/>
  <c r="F146" i="1"/>
  <c r="J146" i="1" s="1"/>
  <c r="Z146" i="1"/>
  <c r="U151" i="1"/>
  <c r="L148" i="1"/>
  <c r="G148" i="1"/>
  <c r="F148" i="1"/>
  <c r="AA148" i="1"/>
  <c r="X148" i="1"/>
  <c r="AA149" i="1"/>
  <c r="E7" i="21"/>
  <c r="H7" i="21" s="1"/>
  <c r="F187" i="1"/>
  <c r="M187" i="1"/>
  <c r="Q199" i="1"/>
  <c r="Z187" i="1"/>
  <c r="E8" i="21"/>
  <c r="M188" i="1"/>
  <c r="F188" i="1"/>
  <c r="AA188" i="1"/>
  <c r="X188" i="1"/>
  <c r="L190" i="1"/>
  <c r="G190" i="1"/>
  <c r="H132" i="3" s="1"/>
  <c r="F190" i="1"/>
  <c r="G132" i="3" s="1"/>
  <c r="AA190" i="1"/>
  <c r="X190" i="1"/>
  <c r="X191" i="1"/>
  <c r="Y191" i="1"/>
  <c r="L192" i="1"/>
  <c r="G192" i="1"/>
  <c r="F192" i="1"/>
  <c r="AA192" i="1"/>
  <c r="F193" i="1"/>
  <c r="L193" i="1"/>
  <c r="Y195" i="1"/>
  <c r="AH195" i="1"/>
  <c r="X196" i="1"/>
  <c r="Y196" i="1"/>
  <c r="R198" i="1"/>
  <c r="W198" i="1"/>
  <c r="AG198" i="1"/>
  <c r="D245" i="1"/>
  <c r="G234" i="1"/>
  <c r="F234" i="1"/>
  <c r="K245" i="1"/>
  <c r="S245" i="1"/>
  <c r="E246" i="1" s="1"/>
  <c r="AH235" i="1"/>
  <c r="AH239" i="1"/>
  <c r="X241" i="1"/>
  <c r="R336" i="1"/>
  <c r="D337" i="1" s="1"/>
  <c r="AF336" i="1"/>
  <c r="AI336" i="1" s="1"/>
  <c r="AH327" i="1"/>
  <c r="Q336" i="1"/>
  <c r="AH336" i="1"/>
  <c r="AA374" i="1"/>
  <c r="T381" i="1"/>
  <c r="T382" i="1" s="1"/>
  <c r="S381" i="1"/>
  <c r="S382" i="1" s="1"/>
  <c r="AG381" i="1"/>
  <c r="J22" i="23"/>
  <c r="D22" i="14"/>
  <c r="V425" i="1"/>
  <c r="E18" i="23"/>
  <c r="H18" i="23" s="1"/>
  <c r="L454" i="1"/>
  <c r="L461" i="1" s="1"/>
  <c r="D461" i="1"/>
  <c r="C18" i="14"/>
  <c r="C18" i="13"/>
  <c r="R462" i="1"/>
  <c r="F16" i="21"/>
  <c r="F497" i="1"/>
  <c r="K497" i="1"/>
  <c r="C15" i="14"/>
  <c r="C15" i="13"/>
  <c r="F498" i="1"/>
  <c r="Z498" i="1"/>
  <c r="C499" i="1"/>
  <c r="C500" i="1" s="1"/>
  <c r="U499" i="1"/>
  <c r="E544" i="1"/>
  <c r="F20" i="23" s="1"/>
  <c r="F542" i="1"/>
  <c r="K542" i="1"/>
  <c r="L543" i="1"/>
  <c r="F543" i="1"/>
  <c r="J543" i="1" s="1"/>
  <c r="C20" i="14"/>
  <c r="C20" i="13"/>
  <c r="U544" i="1"/>
  <c r="G545" i="1" s="1"/>
  <c r="AG581" i="1"/>
  <c r="AH573" i="1"/>
  <c r="AH581" i="1" s="1"/>
  <c r="J23" i="23"/>
  <c r="F23" i="23"/>
  <c r="C23" i="14"/>
  <c r="C23" i="13"/>
  <c r="R582" i="1"/>
  <c r="U581" i="1"/>
  <c r="G582" i="1" s="1"/>
  <c r="R620" i="1"/>
  <c r="F16" i="23"/>
  <c r="J644" i="1"/>
  <c r="F29" i="23"/>
  <c r="R655" i="1"/>
  <c r="AF655" i="1"/>
  <c r="AI655" i="1" s="1"/>
  <c r="E12" i="23"/>
  <c r="H12" i="23" s="1"/>
  <c r="N13" i="13"/>
  <c r="J13" i="13"/>
  <c r="F13" i="13"/>
  <c r="L13" i="13"/>
  <c r="D22" i="13"/>
  <c r="G25" i="19"/>
  <c r="J206" i="3"/>
  <c r="J253" i="3"/>
  <c r="J284" i="3"/>
  <c r="F322" i="3"/>
  <c r="G322" i="3" s="1"/>
  <c r="E325" i="3"/>
  <c r="E362" i="3"/>
  <c r="E368" i="3"/>
  <c r="F373" i="3"/>
  <c r="G373" i="3" s="1"/>
  <c r="D400" i="3"/>
  <c r="F400" i="3"/>
  <c r="H28" i="14"/>
  <c r="J28" i="14" s="1"/>
  <c r="F15" i="19"/>
  <c r="I17" i="19"/>
  <c r="F24" i="19"/>
  <c r="D18" i="21"/>
  <c r="G10" i="1"/>
  <c r="L10" i="1"/>
  <c r="L21" i="1" s="1"/>
  <c r="N10" i="1"/>
  <c r="N21" i="1" s="1"/>
  <c r="AA10" i="1"/>
  <c r="AA22" i="1" s="1"/>
  <c r="G11" i="1"/>
  <c r="X11" i="1"/>
  <c r="Y11" i="1"/>
  <c r="Y22" i="1" s="1"/>
  <c r="F12" i="1"/>
  <c r="M12" i="1"/>
  <c r="F13" i="1"/>
  <c r="M13" i="1"/>
  <c r="G14" i="1"/>
  <c r="G15" i="1"/>
  <c r="X15" i="1"/>
  <c r="G19" i="1"/>
  <c r="X19" i="1"/>
  <c r="F20" i="1"/>
  <c r="J20" i="1" s="1"/>
  <c r="M20" i="1"/>
  <c r="C18" i="21"/>
  <c r="G57" i="1"/>
  <c r="L57" i="1"/>
  <c r="L68" i="1" s="1"/>
  <c r="N57" i="1"/>
  <c r="N68" i="1" s="1"/>
  <c r="AA57" i="1"/>
  <c r="F58" i="1"/>
  <c r="J58" i="1" s="1"/>
  <c r="M58" i="1"/>
  <c r="AF68" i="1"/>
  <c r="AI68" i="1" s="1"/>
  <c r="F59" i="1"/>
  <c r="M59" i="1"/>
  <c r="F60" i="1"/>
  <c r="M60" i="1"/>
  <c r="F61" i="1"/>
  <c r="M61" i="1"/>
  <c r="F62" i="1"/>
  <c r="J62" i="1" s="1"/>
  <c r="M62" i="1"/>
  <c r="F63" i="1"/>
  <c r="J63" i="1" s="1"/>
  <c r="M63" i="1"/>
  <c r="F64" i="1"/>
  <c r="M64" i="1"/>
  <c r="AA64" i="1"/>
  <c r="M65" i="1"/>
  <c r="AA65" i="1"/>
  <c r="E68" i="1"/>
  <c r="E69" i="1" s="1"/>
  <c r="T72" i="1"/>
  <c r="E106" i="1"/>
  <c r="M95" i="1"/>
  <c r="F95" i="1"/>
  <c r="G18" i="3" s="1"/>
  <c r="AA95" i="1"/>
  <c r="Y106" i="1"/>
  <c r="AI106" i="1"/>
  <c r="U107" i="1" s="1"/>
  <c r="M96" i="1"/>
  <c r="F96" i="1"/>
  <c r="J96" i="1" s="1"/>
  <c r="D14" i="23"/>
  <c r="M98" i="1"/>
  <c r="AA98" i="1"/>
  <c r="M99" i="1"/>
  <c r="F99" i="1"/>
  <c r="M100" i="1"/>
  <c r="AH100" i="1"/>
  <c r="AH106" i="1" s="1"/>
  <c r="D106" i="1"/>
  <c r="D107" i="1" s="1"/>
  <c r="I106" i="1"/>
  <c r="I107" i="1" s="1"/>
  <c r="S106" i="1"/>
  <c r="C151" i="1"/>
  <c r="C152" i="1" s="1"/>
  <c r="N151" i="1"/>
  <c r="AA151" i="1"/>
  <c r="AG151" i="1"/>
  <c r="AH140" i="1"/>
  <c r="R151" i="1"/>
  <c r="L143" i="1"/>
  <c r="G143" i="1"/>
  <c r="H134" i="3" s="1"/>
  <c r="F143" i="1"/>
  <c r="G134" i="3" s="1"/>
  <c r="Y143" i="1"/>
  <c r="Y151" i="1" s="1"/>
  <c r="X143" i="1"/>
  <c r="M145" i="1"/>
  <c r="AH145" i="1"/>
  <c r="M148" i="1"/>
  <c r="G16" i="21"/>
  <c r="F149" i="1"/>
  <c r="J149" i="1" s="1"/>
  <c r="D151" i="1"/>
  <c r="D152" i="1" s="1"/>
  <c r="I151" i="1"/>
  <c r="I152" i="1" s="1"/>
  <c r="S151" i="1"/>
  <c r="S152" i="1" s="1"/>
  <c r="S198" i="1"/>
  <c r="D198" i="1"/>
  <c r="M190" i="1"/>
  <c r="E11" i="21"/>
  <c r="H11" i="21" s="1"/>
  <c r="M191" i="1"/>
  <c r="F191" i="1"/>
  <c r="L191" i="1"/>
  <c r="AB191" i="1"/>
  <c r="AB198" i="1" s="1"/>
  <c r="M192" i="1"/>
  <c r="AF198" i="1"/>
  <c r="AI192" i="1"/>
  <c r="AI198" i="1" s="1"/>
  <c r="AH192" i="1"/>
  <c r="Y193" i="1"/>
  <c r="U198" i="1"/>
  <c r="X193" i="1"/>
  <c r="L194" i="1"/>
  <c r="G194" i="1"/>
  <c r="F194" i="1"/>
  <c r="J194" i="1" s="1"/>
  <c r="X194" i="1"/>
  <c r="Y194" i="1"/>
  <c r="AA194" i="1"/>
  <c r="E15" i="21"/>
  <c r="M195" i="1"/>
  <c r="F195" i="1"/>
  <c r="J195" i="1" s="1"/>
  <c r="L195" i="1"/>
  <c r="Z195" i="1"/>
  <c r="AA195" i="1"/>
  <c r="E16" i="21"/>
  <c r="M196" i="1"/>
  <c r="F196" i="1"/>
  <c r="J196" i="1" s="1"/>
  <c r="L196" i="1"/>
  <c r="AA196" i="1"/>
  <c r="F197" i="1"/>
  <c r="J197" i="1" s="1"/>
  <c r="X197" i="1"/>
  <c r="Y197" i="1"/>
  <c r="E198" i="1"/>
  <c r="M234" i="1"/>
  <c r="M245" i="1" s="1"/>
  <c r="L234" i="1"/>
  <c r="AH245" i="1"/>
  <c r="M235" i="1"/>
  <c r="F235" i="1"/>
  <c r="J235" i="1" s="1"/>
  <c r="I245" i="1"/>
  <c r="L235" i="1"/>
  <c r="Q245" i="1"/>
  <c r="L238" i="1"/>
  <c r="G238" i="1"/>
  <c r="H177" i="3" s="1"/>
  <c r="F238" i="1"/>
  <c r="F239" i="1"/>
  <c r="J239" i="1" s="1"/>
  <c r="AA239" i="1"/>
  <c r="L240" i="1"/>
  <c r="G240" i="1"/>
  <c r="F240" i="1"/>
  <c r="AA240" i="1"/>
  <c r="X240" i="1"/>
  <c r="F241" i="1"/>
  <c r="J241" i="1" s="1"/>
  <c r="AA241" i="1"/>
  <c r="C245" i="1"/>
  <c r="C246" i="1" s="1"/>
  <c r="R245" i="1"/>
  <c r="AG245" i="1"/>
  <c r="D28" i="14"/>
  <c r="D28" i="13"/>
  <c r="D28" i="23"/>
  <c r="G28" i="23" s="1"/>
  <c r="C28" i="14"/>
  <c r="C28" i="13"/>
  <c r="R292" i="1"/>
  <c r="U292" i="1"/>
  <c r="V293" i="1"/>
  <c r="E336" i="1"/>
  <c r="E337" i="1" s="1"/>
  <c r="F325" i="1"/>
  <c r="J325" i="1" s="1"/>
  <c r="M325" i="1"/>
  <c r="M326" i="1"/>
  <c r="F326" i="1"/>
  <c r="J326" i="1" s="1"/>
  <c r="L326" i="1"/>
  <c r="L327" i="1"/>
  <c r="F327" i="1"/>
  <c r="J327" i="1" s="1"/>
  <c r="K327" i="1"/>
  <c r="K336" i="1" s="1"/>
  <c r="Z327" i="1"/>
  <c r="AI327" i="1"/>
  <c r="M329" i="1"/>
  <c r="F329" i="1"/>
  <c r="D336" i="1"/>
  <c r="J25" i="23"/>
  <c r="S337" i="1"/>
  <c r="T336" i="1"/>
  <c r="T337" i="1" s="1"/>
  <c r="E381" i="1"/>
  <c r="F370" i="1"/>
  <c r="M370" i="1"/>
  <c r="J374" i="1"/>
  <c r="F374" i="1"/>
  <c r="G176" i="3" s="1"/>
  <c r="M374" i="1"/>
  <c r="E13" i="23"/>
  <c r="H13" i="23" s="1"/>
  <c r="I381" i="1"/>
  <c r="I382" i="1" s="1"/>
  <c r="V383" i="1"/>
  <c r="J417" i="1"/>
  <c r="J424" i="1" s="1"/>
  <c r="G454" i="1"/>
  <c r="G461" i="1" s="1"/>
  <c r="AE461" i="1"/>
  <c r="Q462" i="1" s="1"/>
  <c r="U462" i="1"/>
  <c r="E15" i="23"/>
  <c r="H15" i="23" s="1"/>
  <c r="M497" i="1"/>
  <c r="E499" i="1"/>
  <c r="S499" i="1"/>
  <c r="R500" i="1"/>
  <c r="M542" i="1"/>
  <c r="G543" i="1"/>
  <c r="D544" i="1"/>
  <c r="S581" i="1"/>
  <c r="E582" i="1" s="1"/>
  <c r="T581" i="1"/>
  <c r="F582" i="1" s="1"/>
  <c r="D620" i="1"/>
  <c r="H144" i="3"/>
  <c r="G144" i="3"/>
  <c r="L612" i="1"/>
  <c r="L620" i="1" s="1"/>
  <c r="D16" i="23"/>
  <c r="C621" i="1"/>
  <c r="I621" i="1"/>
  <c r="G655" i="1"/>
  <c r="G656" i="1" s="1"/>
  <c r="J29" i="23"/>
  <c r="I656" i="1"/>
  <c r="F28" i="23"/>
  <c r="H13" i="13"/>
  <c r="D18" i="13"/>
  <c r="H19" i="14"/>
  <c r="J19" i="14" s="1"/>
  <c r="F26" i="14"/>
  <c r="N26" i="13"/>
  <c r="J26" i="13"/>
  <c r="F26" i="13"/>
  <c r="H26" i="13"/>
  <c r="F30" i="14"/>
  <c r="N30" i="13"/>
  <c r="J30" i="13"/>
  <c r="F30" i="13"/>
  <c r="H30" i="13"/>
  <c r="F13" i="14"/>
  <c r="H17" i="14"/>
  <c r="J17" i="14" s="1"/>
  <c r="Z141" i="1"/>
  <c r="Z151" i="1" s="1"/>
  <c r="AA187" i="1"/>
  <c r="M193" i="1"/>
  <c r="G291" i="1"/>
  <c r="C13" i="14"/>
  <c r="C13" i="13"/>
  <c r="R382" i="1"/>
  <c r="E22" i="23"/>
  <c r="C22" i="14"/>
  <c r="C22" i="13"/>
  <c r="F454" i="1"/>
  <c r="L497" i="1"/>
  <c r="Z497" i="1"/>
  <c r="AI497" i="1"/>
  <c r="Y644" i="1"/>
  <c r="AH644" i="1"/>
  <c r="AH655" i="1" s="1"/>
  <c r="E23" i="23"/>
  <c r="H17" i="13"/>
  <c r="L17" i="13"/>
  <c r="H19" i="13"/>
  <c r="L19" i="13"/>
  <c r="N27" i="13"/>
  <c r="J27" i="13"/>
  <c r="F27" i="13"/>
  <c r="L27" i="13"/>
  <c r="F18" i="21"/>
  <c r="H17" i="21"/>
  <c r="E17" i="13"/>
  <c r="G17" i="13"/>
  <c r="I17" i="13"/>
  <c r="K17" i="13"/>
  <c r="M17" i="13"/>
  <c r="E19" i="13"/>
  <c r="G19" i="13"/>
  <c r="I19" i="13"/>
  <c r="K19" i="13"/>
  <c r="M19" i="13"/>
  <c r="E26" i="13"/>
  <c r="G26" i="13"/>
  <c r="I26" i="13"/>
  <c r="K26" i="13"/>
  <c r="M26" i="13"/>
  <c r="E27" i="13"/>
  <c r="G27" i="13"/>
  <c r="I27" i="13"/>
  <c r="K27" i="13"/>
  <c r="M27" i="13"/>
  <c r="E30" i="13"/>
  <c r="G30" i="13"/>
  <c r="I30" i="13"/>
  <c r="K30" i="13"/>
  <c r="H16" i="21"/>
  <c r="S500" i="1" l="1"/>
  <c r="E500" i="1"/>
  <c r="L336" i="1"/>
  <c r="Q337" i="1"/>
  <c r="C337" i="1"/>
  <c r="D246" i="1"/>
  <c r="E152" i="1"/>
  <c r="J329" i="1"/>
  <c r="G178" i="3"/>
  <c r="M336" i="1"/>
  <c r="J238" i="1"/>
  <c r="G177" i="3"/>
  <c r="G151" i="1"/>
  <c r="G152" i="1" s="1"/>
  <c r="D199" i="1"/>
  <c r="F13" i="23"/>
  <c r="G13" i="23" s="1"/>
  <c r="E382" i="1"/>
  <c r="J99" i="1"/>
  <c r="G174" i="3"/>
  <c r="E107" i="1"/>
  <c r="J144" i="1"/>
  <c r="G172" i="3"/>
  <c r="E199" i="1"/>
  <c r="J191" i="1"/>
  <c r="G170" i="3"/>
  <c r="J14" i="1"/>
  <c r="G168" i="3"/>
  <c r="L151" i="1"/>
  <c r="L106" i="1"/>
  <c r="W22" i="1"/>
  <c r="I22" i="1"/>
  <c r="W199" i="1"/>
  <c r="I199" i="1"/>
  <c r="J60" i="1"/>
  <c r="G131" i="3"/>
  <c r="J61" i="1"/>
  <c r="G169" i="3"/>
  <c r="J59" i="1"/>
  <c r="G92" i="3"/>
  <c r="J13" i="1"/>
  <c r="G130" i="3"/>
  <c r="J12" i="1"/>
  <c r="G91" i="3"/>
  <c r="M381" i="1"/>
  <c r="M21" i="1"/>
  <c r="G23" i="23"/>
  <c r="D11" i="14"/>
  <c r="U199" i="1"/>
  <c r="D11" i="13"/>
  <c r="H108" i="1"/>
  <c r="G27" i="14"/>
  <c r="I27" i="14" s="1"/>
  <c r="G26" i="14"/>
  <c r="I26" i="14" s="1"/>
  <c r="X644" i="1"/>
  <c r="T655" i="1"/>
  <c r="E13" i="14"/>
  <c r="M13" i="13"/>
  <c r="K13" i="13"/>
  <c r="I13" i="13"/>
  <c r="G13" i="13"/>
  <c r="E13" i="13"/>
  <c r="F18" i="14"/>
  <c r="N18" i="13"/>
  <c r="J18" i="13"/>
  <c r="F18" i="13"/>
  <c r="L18" i="13"/>
  <c r="H18" i="13"/>
  <c r="G620" i="1"/>
  <c r="E16" i="23"/>
  <c r="H16" i="23" s="1"/>
  <c r="S582" i="1"/>
  <c r="J13" i="23"/>
  <c r="E28" i="14"/>
  <c r="M28" i="13"/>
  <c r="K28" i="13"/>
  <c r="I28" i="13"/>
  <c r="G28" i="13"/>
  <c r="E28" i="13"/>
  <c r="G30" i="14"/>
  <c r="I30" i="14" s="1"/>
  <c r="G19" i="14"/>
  <c r="I19" i="14" s="1"/>
  <c r="G17" i="14"/>
  <c r="I17" i="14" s="1"/>
  <c r="H23" i="23"/>
  <c r="G23" i="14"/>
  <c r="I23" i="14" s="1"/>
  <c r="J454" i="1"/>
  <c r="J461" i="1" s="1"/>
  <c r="F461" i="1"/>
  <c r="E22" i="14"/>
  <c r="M22" i="13"/>
  <c r="K22" i="13"/>
  <c r="I22" i="13"/>
  <c r="G22" i="13"/>
  <c r="E22" i="13"/>
  <c r="H22" i="23"/>
  <c r="G22" i="23"/>
  <c r="H293" i="1"/>
  <c r="AA198" i="1"/>
  <c r="H13" i="14"/>
  <c r="J13" i="14" s="1"/>
  <c r="T582" i="1"/>
  <c r="G544" i="1"/>
  <c r="E20" i="23"/>
  <c r="X542" i="1"/>
  <c r="T544" i="1"/>
  <c r="F545" i="1" s="1"/>
  <c r="F15" i="23"/>
  <c r="T499" i="1"/>
  <c r="AB497" i="1"/>
  <c r="X497" i="1"/>
  <c r="T461" i="1"/>
  <c r="J370" i="1"/>
  <c r="J381" i="1" s="1"/>
  <c r="F381" i="1"/>
  <c r="F382" i="1" s="1"/>
  <c r="G336" i="1"/>
  <c r="E25" i="23"/>
  <c r="J336" i="1"/>
  <c r="C24" i="14"/>
  <c r="C24" i="13"/>
  <c r="R246" i="1"/>
  <c r="U245" i="1"/>
  <c r="J240" i="1"/>
  <c r="T248" i="1"/>
  <c r="Q246" i="1"/>
  <c r="J24" i="23"/>
  <c r="L245" i="1"/>
  <c r="S199" i="1"/>
  <c r="T198" i="1"/>
  <c r="J21" i="23"/>
  <c r="AH151" i="1"/>
  <c r="D21" i="23"/>
  <c r="J14" i="23"/>
  <c r="AA106" i="1"/>
  <c r="F106" i="1"/>
  <c r="J95" i="1"/>
  <c r="F14" i="23"/>
  <c r="AN65" i="1"/>
  <c r="X65" i="1"/>
  <c r="J64" i="1"/>
  <c r="M68" i="1"/>
  <c r="AA68" i="1"/>
  <c r="G400" i="3"/>
  <c r="H362" i="3"/>
  <c r="G362" i="3"/>
  <c r="F22" i="14"/>
  <c r="N22" i="13"/>
  <c r="J22" i="13"/>
  <c r="F22" i="13"/>
  <c r="H22" i="13"/>
  <c r="L22" i="13"/>
  <c r="D23" i="14"/>
  <c r="V583" i="1"/>
  <c r="D23" i="13"/>
  <c r="U582" i="1"/>
  <c r="E23" i="14"/>
  <c r="M23" i="13"/>
  <c r="K23" i="13"/>
  <c r="I23" i="13"/>
  <c r="G23" i="13"/>
  <c r="E23" i="13"/>
  <c r="D20" i="14"/>
  <c r="V545" i="1"/>
  <c r="D20" i="13"/>
  <c r="J542" i="1"/>
  <c r="F544" i="1"/>
  <c r="D15" i="14"/>
  <c r="U500" i="1"/>
  <c r="D15" i="13"/>
  <c r="AB498" i="1"/>
  <c r="X498" i="1"/>
  <c r="J498" i="1"/>
  <c r="F499" i="1"/>
  <c r="J497" i="1"/>
  <c r="C25" i="14"/>
  <c r="C25" i="13"/>
  <c r="R337" i="1"/>
  <c r="U336" i="1"/>
  <c r="G337" i="1" s="1"/>
  <c r="AB239" i="1"/>
  <c r="AB245" i="1" s="1"/>
  <c r="X239" i="1"/>
  <c r="X235" i="1"/>
  <c r="X245" i="1" s="1"/>
  <c r="S246" i="1"/>
  <c r="F245" i="1"/>
  <c r="J234" i="1"/>
  <c r="E24" i="23"/>
  <c r="H24" i="23" s="1"/>
  <c r="G245" i="1"/>
  <c r="G246" i="1" s="1"/>
  <c r="AH198" i="1"/>
  <c r="W69" i="1"/>
  <c r="J65" i="1"/>
  <c r="AN62" i="1"/>
  <c r="X62" i="1"/>
  <c r="Y68" i="1"/>
  <c r="F620" i="1"/>
  <c r="J612" i="1"/>
  <c r="J620" i="1" s="1"/>
  <c r="F25" i="23"/>
  <c r="F336" i="1"/>
  <c r="F337" i="1" s="1"/>
  <c r="L28" i="13"/>
  <c r="H28" i="13"/>
  <c r="N28" i="13"/>
  <c r="F28" i="13"/>
  <c r="F28" i="14"/>
  <c r="J28" i="13"/>
  <c r="D24" i="23"/>
  <c r="F248" i="1"/>
  <c r="AA245" i="1"/>
  <c r="F198" i="1"/>
  <c r="F11" i="23"/>
  <c r="E11" i="23"/>
  <c r="E21" i="23"/>
  <c r="H21" i="23" s="1"/>
  <c r="J143" i="1"/>
  <c r="C21" i="14"/>
  <c r="C21" i="13"/>
  <c r="R152" i="1"/>
  <c r="S107" i="1"/>
  <c r="T109" i="1"/>
  <c r="E14" i="23"/>
  <c r="H14" i="23" s="1"/>
  <c r="F109" i="1"/>
  <c r="T106" i="1"/>
  <c r="X95" i="1"/>
  <c r="M106" i="1"/>
  <c r="F12" i="23"/>
  <c r="AN64" i="1"/>
  <c r="X64" i="1"/>
  <c r="AN57" i="1"/>
  <c r="X57" i="1"/>
  <c r="T21" i="1"/>
  <c r="X10" i="1"/>
  <c r="X21" i="1" s="1"/>
  <c r="H368" i="3"/>
  <c r="G368" i="3"/>
  <c r="H325" i="3"/>
  <c r="G325" i="3"/>
  <c r="C29" i="13"/>
  <c r="C29" i="14"/>
  <c r="R656" i="1"/>
  <c r="U655" i="1"/>
  <c r="T620" i="1"/>
  <c r="T621" i="1" s="1"/>
  <c r="C16" i="14"/>
  <c r="C16" i="13"/>
  <c r="R621" i="1"/>
  <c r="U620" i="1"/>
  <c r="E20" i="14"/>
  <c r="M20" i="13"/>
  <c r="K20" i="13"/>
  <c r="I20" i="13"/>
  <c r="G20" i="13"/>
  <c r="E20" i="13"/>
  <c r="D15" i="23"/>
  <c r="E15" i="14"/>
  <c r="M15" i="13"/>
  <c r="K15" i="13"/>
  <c r="I15" i="13"/>
  <c r="G15" i="13"/>
  <c r="E15" i="13"/>
  <c r="E18" i="14"/>
  <c r="M18" i="13"/>
  <c r="K18" i="13"/>
  <c r="I18" i="13"/>
  <c r="G18" i="13"/>
  <c r="E18" i="13"/>
  <c r="F424" i="1"/>
  <c r="F425" i="1" s="1"/>
  <c r="T245" i="1"/>
  <c r="T246" i="1" s="1"/>
  <c r="X195" i="1"/>
  <c r="J193" i="1"/>
  <c r="Y198" i="1"/>
  <c r="J190" i="1"/>
  <c r="L198" i="1"/>
  <c r="Z198" i="1"/>
  <c r="J187" i="1"/>
  <c r="F200" i="1"/>
  <c r="J148" i="1"/>
  <c r="D21" i="14"/>
  <c r="D21" i="13"/>
  <c r="U152" i="1"/>
  <c r="M151" i="1"/>
  <c r="F21" i="23"/>
  <c r="N104" i="1"/>
  <c r="N106" i="1" s="1"/>
  <c r="J104" i="1"/>
  <c r="C11" i="14"/>
  <c r="C11" i="13"/>
  <c r="R199" i="1"/>
  <c r="X192" i="1"/>
  <c r="X198" i="1" s="1"/>
  <c r="J192" i="1"/>
  <c r="G198" i="1"/>
  <c r="G199" i="1" s="1"/>
  <c r="J188" i="1"/>
  <c r="T200" i="1"/>
  <c r="X187" i="1"/>
  <c r="M198" i="1"/>
  <c r="E18" i="21"/>
  <c r="X145" i="1"/>
  <c r="X151" i="1" s="1"/>
  <c r="J145" i="1"/>
  <c r="T151" i="1"/>
  <c r="T152" i="1" s="1"/>
  <c r="J140" i="1"/>
  <c r="F151" i="1"/>
  <c r="G18" i="21"/>
  <c r="X100" i="1"/>
  <c r="J100" i="1"/>
  <c r="J98" i="1"/>
  <c r="E14" i="14"/>
  <c r="M14" i="13"/>
  <c r="K14" i="13"/>
  <c r="I14" i="13"/>
  <c r="G14" i="13"/>
  <c r="E14" i="13"/>
  <c r="C12" i="14"/>
  <c r="C12" i="13"/>
  <c r="R69" i="1"/>
  <c r="D12" i="23"/>
  <c r="F72" i="1"/>
  <c r="H15" i="21"/>
  <c r="H18" i="21" s="1"/>
  <c r="AN63" i="1"/>
  <c r="X63" i="1"/>
  <c r="AN61" i="1"/>
  <c r="X61" i="1"/>
  <c r="AN60" i="1"/>
  <c r="X60" i="1"/>
  <c r="AN59" i="1"/>
  <c r="X59" i="1"/>
  <c r="AN58" i="1"/>
  <c r="X58" i="1"/>
  <c r="G12" i="14"/>
  <c r="I12" i="14" s="1"/>
  <c r="C10" i="14"/>
  <c r="C10" i="13"/>
  <c r="U21" i="1"/>
  <c r="G22" i="1" s="1"/>
  <c r="R22" i="1"/>
  <c r="D10" i="23"/>
  <c r="J19" i="1"/>
  <c r="J15" i="1"/>
  <c r="F21" i="1"/>
  <c r="J10" i="1"/>
  <c r="D22" i="19"/>
  <c r="E18" i="19"/>
  <c r="F18" i="19" s="1"/>
  <c r="D20" i="19"/>
  <c r="E14" i="19"/>
  <c r="C16" i="19"/>
  <c r="E11" i="19"/>
  <c r="G51" i="3"/>
  <c r="D19" i="19"/>
  <c r="G19" i="19" s="1"/>
  <c r="E16" i="19"/>
  <c r="D11" i="19"/>
  <c r="G11" i="19" s="1"/>
  <c r="N14" i="13"/>
  <c r="J14" i="13"/>
  <c r="F14" i="13"/>
  <c r="H14" i="13"/>
  <c r="F14" i="14"/>
  <c r="L14" i="13"/>
  <c r="D23" i="19"/>
  <c r="G23" i="19" s="1"/>
  <c r="D16" i="19"/>
  <c r="G16" i="19" s="1"/>
  <c r="H53" i="3"/>
  <c r="F68" i="1"/>
  <c r="F69" i="1" s="1"/>
  <c r="J57" i="1"/>
  <c r="F10" i="23"/>
  <c r="J11" i="1"/>
  <c r="E21" i="19"/>
  <c r="F21" i="19" s="1"/>
  <c r="I18" i="19"/>
  <c r="E20" i="19"/>
  <c r="C19" i="19"/>
  <c r="F19" i="19" s="1"/>
  <c r="E12" i="19"/>
  <c r="I12" i="19"/>
  <c r="D14" i="19"/>
  <c r="G14" i="19" s="1"/>
  <c r="I16" i="19"/>
  <c r="C11" i="19"/>
  <c r="F11" i="19" s="1"/>
  <c r="E10" i="19"/>
  <c r="F10" i="19" s="1"/>
  <c r="C12" i="19"/>
  <c r="D12" i="19"/>
  <c r="G12" i="19" s="1"/>
  <c r="C14" i="19"/>
  <c r="F14" i="19" s="1"/>
  <c r="F152" i="1" l="1"/>
  <c r="F500" i="1"/>
  <c r="T462" i="1"/>
  <c r="F462" i="1"/>
  <c r="F246" i="1"/>
  <c r="J245" i="1"/>
  <c r="F199" i="1"/>
  <c r="F22" i="1"/>
  <c r="T107" i="1"/>
  <c r="F107" i="1"/>
  <c r="AN68" i="1"/>
  <c r="H23" i="14"/>
  <c r="J23" i="14" s="1"/>
  <c r="J198" i="1"/>
  <c r="J21" i="1"/>
  <c r="J31" i="23"/>
  <c r="G15" i="23"/>
  <c r="E31" i="23"/>
  <c r="F31" i="23"/>
  <c r="G24" i="23"/>
  <c r="G12" i="23"/>
  <c r="G28" i="14"/>
  <c r="I28" i="14" s="1"/>
  <c r="G20" i="19"/>
  <c r="F20" i="19"/>
  <c r="F23" i="19"/>
  <c r="E10" i="14"/>
  <c r="M10" i="13"/>
  <c r="K10" i="13"/>
  <c r="I10" i="13"/>
  <c r="G10" i="13"/>
  <c r="E10" i="13"/>
  <c r="E12" i="14"/>
  <c r="M12" i="13"/>
  <c r="K12" i="13"/>
  <c r="I12" i="13"/>
  <c r="G12" i="13"/>
  <c r="E12" i="13"/>
  <c r="F12" i="19"/>
  <c r="G10" i="14"/>
  <c r="I10" i="14" s="1"/>
  <c r="G29" i="14"/>
  <c r="I29" i="14" s="1"/>
  <c r="F16" i="19"/>
  <c r="F22" i="19"/>
  <c r="G22" i="19"/>
  <c r="D31" i="23"/>
  <c r="G10" i="23"/>
  <c r="D10" i="14"/>
  <c r="U22" i="1"/>
  <c r="D10" i="13"/>
  <c r="D12" i="14"/>
  <c r="U69" i="1"/>
  <c r="D12" i="13"/>
  <c r="J151" i="1"/>
  <c r="D16" i="14"/>
  <c r="V622" i="1"/>
  <c r="U621" i="1"/>
  <c r="D16" i="13"/>
  <c r="E621" i="1"/>
  <c r="E16" i="14"/>
  <c r="M16" i="13"/>
  <c r="K16" i="13"/>
  <c r="I16" i="13"/>
  <c r="G16" i="13"/>
  <c r="E16" i="13"/>
  <c r="D29" i="14"/>
  <c r="D29" i="13"/>
  <c r="U656" i="1"/>
  <c r="E656" i="1"/>
  <c r="T22" i="1"/>
  <c r="X68" i="1"/>
  <c r="T69" i="1"/>
  <c r="X106" i="1"/>
  <c r="H21" i="14"/>
  <c r="J21" i="14" s="1"/>
  <c r="F621" i="1"/>
  <c r="H247" i="1"/>
  <c r="D25" i="14"/>
  <c r="U337" i="1"/>
  <c r="D25" i="13"/>
  <c r="E25" i="14"/>
  <c r="M25" i="13"/>
  <c r="K25" i="13"/>
  <c r="I25" i="13"/>
  <c r="G25" i="13"/>
  <c r="E25" i="13"/>
  <c r="F20" i="14"/>
  <c r="N20" i="13"/>
  <c r="J20" i="13"/>
  <c r="F20" i="13"/>
  <c r="H20" i="13"/>
  <c r="L20" i="13"/>
  <c r="G14" i="23"/>
  <c r="T199" i="1"/>
  <c r="G25" i="23"/>
  <c r="H25" i="23"/>
  <c r="G15" i="14"/>
  <c r="I15" i="14" s="1"/>
  <c r="T500" i="1"/>
  <c r="H18" i="14"/>
  <c r="J18" i="14" s="1"/>
  <c r="G16" i="23"/>
  <c r="G22" i="14"/>
  <c r="I22" i="14" s="1"/>
  <c r="T656" i="1"/>
  <c r="D656" i="1"/>
  <c r="H14" i="14"/>
  <c r="J14" i="14" s="1"/>
  <c r="H10" i="14"/>
  <c r="J10" i="14" s="1"/>
  <c r="E11" i="14"/>
  <c r="M11" i="13"/>
  <c r="K11" i="13"/>
  <c r="I11" i="13"/>
  <c r="G11" i="13"/>
  <c r="E11" i="13"/>
  <c r="F21" i="14"/>
  <c r="N21" i="13"/>
  <c r="J21" i="13"/>
  <c r="F21" i="13"/>
  <c r="H21" i="13"/>
  <c r="L21" i="13"/>
  <c r="E29" i="14"/>
  <c r="M29" i="13"/>
  <c r="K29" i="13"/>
  <c r="I29" i="13"/>
  <c r="G29" i="13"/>
  <c r="E29" i="13"/>
  <c r="E21" i="14"/>
  <c r="M21" i="13"/>
  <c r="K21" i="13"/>
  <c r="I21" i="13"/>
  <c r="G21" i="13"/>
  <c r="E21" i="13"/>
  <c r="H11" i="23"/>
  <c r="G11" i="23"/>
  <c r="H12" i="14"/>
  <c r="J12" i="14" s="1"/>
  <c r="X246" i="1"/>
  <c r="N15" i="13"/>
  <c r="J15" i="13"/>
  <c r="F15" i="13"/>
  <c r="F15" i="14"/>
  <c r="H15" i="13"/>
  <c r="L15" i="13"/>
  <c r="F23" i="14"/>
  <c r="N23" i="13"/>
  <c r="J23" i="13"/>
  <c r="F23" i="13"/>
  <c r="H23" i="13"/>
  <c r="L23" i="13"/>
  <c r="H29" i="14"/>
  <c r="J29" i="14" s="1"/>
  <c r="J106" i="1"/>
  <c r="G21" i="23"/>
  <c r="D24" i="14"/>
  <c r="V247" i="1"/>
  <c r="U246" i="1"/>
  <c r="D24" i="13"/>
  <c r="E24" i="14"/>
  <c r="M24" i="13"/>
  <c r="K24" i="13"/>
  <c r="I24" i="13"/>
  <c r="G24" i="13"/>
  <c r="E24" i="13"/>
  <c r="H20" i="23"/>
  <c r="G20" i="23"/>
  <c r="G13" i="14"/>
  <c r="I13" i="14" s="1"/>
  <c r="D621" i="1"/>
  <c r="H622" i="1"/>
  <c r="G621" i="1"/>
  <c r="N11" i="13"/>
  <c r="J11" i="13"/>
  <c r="F11" i="13"/>
  <c r="F11" i="14"/>
  <c r="H11" i="13"/>
  <c r="L11" i="13"/>
  <c r="H31" i="23" l="1"/>
  <c r="I31" i="23" s="1"/>
  <c r="G25" i="14"/>
  <c r="I25" i="14" s="1"/>
  <c r="G24" i="14"/>
  <c r="I24" i="14" s="1"/>
  <c r="G18" i="14"/>
  <c r="I18" i="14" s="1"/>
  <c r="H25" i="14"/>
  <c r="J25" i="14" s="1"/>
  <c r="F24" i="14"/>
  <c r="N24" i="13"/>
  <c r="J24" i="13"/>
  <c r="F24" i="13"/>
  <c r="H24" i="13"/>
  <c r="L24" i="13"/>
  <c r="G21" i="14"/>
  <c r="I21" i="14" s="1"/>
  <c r="H11" i="14"/>
  <c r="J11" i="14" s="1"/>
  <c r="G16" i="14"/>
  <c r="I16" i="14" s="1"/>
  <c r="H20" i="14"/>
  <c r="J20" i="14" s="1"/>
  <c r="F25" i="14"/>
  <c r="N25" i="13"/>
  <c r="J25" i="13"/>
  <c r="F25" i="13"/>
  <c r="H25" i="13"/>
  <c r="L25" i="13"/>
  <c r="G11" i="14"/>
  <c r="I11" i="14" s="1"/>
  <c r="F29" i="14"/>
  <c r="L29" i="13"/>
  <c r="H29" i="13"/>
  <c r="N29" i="13"/>
  <c r="F29" i="13"/>
  <c r="J29" i="13"/>
  <c r="N12" i="13"/>
  <c r="J12" i="13"/>
  <c r="F12" i="13"/>
  <c r="H12" i="13"/>
  <c r="F12" i="14"/>
  <c r="L12" i="13"/>
  <c r="G31" i="23"/>
  <c r="H16" i="14"/>
  <c r="J16" i="14" s="1"/>
  <c r="G20" i="14"/>
  <c r="I20" i="14" s="1"/>
  <c r="G14" i="14"/>
  <c r="I14" i="14" s="1"/>
  <c r="H24" i="14"/>
  <c r="J24" i="14" s="1"/>
  <c r="X69" i="1"/>
  <c r="N16" i="13"/>
  <c r="J16" i="13"/>
  <c r="F16" i="13"/>
  <c r="H16" i="13"/>
  <c r="F16" i="14"/>
  <c r="L16" i="13"/>
  <c r="N10" i="13"/>
  <c r="J10" i="13"/>
  <c r="F10" i="13"/>
  <c r="H10" i="13"/>
  <c r="F10" i="14"/>
  <c r="L10" i="13"/>
</calcChain>
</file>

<file path=xl/comments1.xml><?xml version="1.0" encoding="utf-8"?>
<comments xmlns="http://schemas.openxmlformats.org/spreadsheetml/2006/main">
  <authors>
    <author>Windows</author>
  </authors>
  <commentList>
    <comment ref="C409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
</t>
        </r>
      </text>
    </comment>
    <comment ref="Q409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
</t>
        </r>
      </text>
    </comment>
    <comment ref="C446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
</t>
        </r>
      </text>
    </comment>
    <comment ref="Q446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
</t>
        </r>
      </text>
    </comment>
    <comment ref="C484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  <comment ref="Q484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  <comment ref="C529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  <comment ref="Q529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  <comment ref="C566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  <comment ref="Q566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  <comment ref="C604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  <comment ref="Q604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  <comment ref="C640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  <comment ref="Q640" authorId="0" shapeId="0">
      <text>
        <r>
          <rPr>
            <b/>
            <sz val="9"/>
            <rFont val="Tahoma"/>
            <charset val="134"/>
          </rPr>
          <t>Windows:</t>
        </r>
        <r>
          <rPr>
            <sz val="9"/>
            <rFont val="Tahoma"/>
            <charset val="134"/>
          </rPr>
          <t xml:space="preserve">
OK</t>
        </r>
      </text>
    </comment>
  </commentList>
</comments>
</file>

<file path=xl/sharedStrings.xml><?xml version="1.0" encoding="utf-8"?>
<sst xmlns="http://schemas.openxmlformats.org/spreadsheetml/2006/main" count="3617" uniqueCount="317">
  <si>
    <t xml:space="preserve">LUAS AREAL DAN PRODUKSI </t>
  </si>
  <si>
    <t>KOMODITI PERKEBUNAN RAKYAT KABUPATEN ACEH SINGKIL</t>
  </si>
  <si>
    <t xml:space="preserve">KECAMATAN </t>
  </si>
  <si>
    <t xml:space="preserve">: SURO </t>
  </si>
  <si>
    <t>No</t>
  </si>
  <si>
    <t>Komoditi</t>
  </si>
  <si>
    <t>Luas Areal (Ha)</t>
  </si>
  <si>
    <t>Jumlah (Ha)</t>
  </si>
  <si>
    <t>Produksi           (Ton)</t>
  </si>
  <si>
    <t>Rata-rata Produktifitas (Kg)</t>
  </si>
  <si>
    <t>Jumlah Petani (KK)</t>
  </si>
  <si>
    <t>Ket</t>
  </si>
  <si>
    <t>TBM</t>
  </si>
  <si>
    <t>TM</t>
  </si>
  <si>
    <t>TR</t>
  </si>
  <si>
    <t>KARET</t>
  </si>
  <si>
    <t>KELAPA SAWIT</t>
  </si>
  <si>
    <t>KELAPA DALAM</t>
  </si>
  <si>
    <t>sudah selesai di revisi</t>
  </si>
  <si>
    <t>NILAM</t>
  </si>
  <si>
    <t>-</t>
  </si>
  <si>
    <t>PINANG</t>
  </si>
  <si>
    <t>KAPUK / RANDU</t>
  </si>
  <si>
    <t>KAKAO</t>
  </si>
  <si>
    <t>TEBU</t>
  </si>
  <si>
    <t>KOPI</t>
  </si>
  <si>
    <t>SAGU</t>
  </si>
  <si>
    <t>AREN</t>
  </si>
  <si>
    <t>CENGKEH</t>
  </si>
  <si>
    <t>PALA</t>
  </si>
  <si>
    <t>KEMIRI</t>
  </si>
  <si>
    <t>LADA</t>
  </si>
  <si>
    <t>SERE WANGI</t>
  </si>
  <si>
    <t>: Tanaman Belum Menghasilkan</t>
  </si>
  <si>
    <t>: Tanaman Menghasilkan</t>
  </si>
  <si>
    <t>: Tanaman Rusak</t>
  </si>
  <si>
    <t>Manbun</t>
  </si>
  <si>
    <t>Koordinator</t>
  </si>
  <si>
    <t>Asparlin Sugianto</t>
  </si>
  <si>
    <t>: SIMPANG KANAN</t>
  </si>
  <si>
    <t>M. Nasyir Syam</t>
  </si>
  <si>
    <t>: DANAU PARIS</t>
  </si>
  <si>
    <t>Alwansyah, SP</t>
  </si>
  <si>
    <t>: SINGKOHOR</t>
  </si>
  <si>
    <t>Sugianto, SP</t>
  </si>
  <si>
    <t>:GUNUNG MERIAH</t>
  </si>
  <si>
    <t>Sariaman</t>
  </si>
  <si>
    <t>: KOTA BAHARU</t>
  </si>
  <si>
    <t>Sholihin</t>
  </si>
  <si>
    <t>: SINGKIL UTARA</t>
  </si>
  <si>
    <t>Sapril</t>
  </si>
  <si>
    <t>:SINGKIL</t>
  </si>
  <si>
    <t>Dani Ansari, S.P</t>
  </si>
  <si>
    <t>: KUALA BARU</t>
  </si>
  <si>
    <t>Khairul Mihbar</t>
  </si>
  <si>
    <t>: PULAU BANYAK</t>
  </si>
  <si>
    <t>Henni Novianti</t>
  </si>
  <si>
    <t>: PULAU BANYAK BARAT</t>
  </si>
  <si>
    <t>Redi Kurniawan</t>
  </si>
  <si>
    <t xml:space="preserve">ANGKA TETAP LUAS AREAL DAN PRODUKSI </t>
  </si>
  <si>
    <t>TAHUN 2023</t>
  </si>
  <si>
    <t>KOMODITI</t>
  </si>
  <si>
    <t>: KARET</t>
  </si>
  <si>
    <t>Kecamatan</t>
  </si>
  <si>
    <t>Jumlah         (Ha)</t>
  </si>
  <si>
    <t>KK</t>
  </si>
  <si>
    <t xml:space="preserve">SURO </t>
  </si>
  <si>
    <t>SIMPANG KANAN</t>
  </si>
  <si>
    <t>DANAU PARIS</t>
  </si>
  <si>
    <t>SINGKOHOR</t>
  </si>
  <si>
    <t>GUNUNG MERIAH</t>
  </si>
  <si>
    <t>KOTA BAHARU</t>
  </si>
  <si>
    <t>SINGKIL UTARA</t>
  </si>
  <si>
    <t>SINGKIL</t>
  </si>
  <si>
    <t>KUALA BARU</t>
  </si>
  <si>
    <t>PULAU BANYAK</t>
  </si>
  <si>
    <t>PULAU BANYAK BARAT</t>
  </si>
  <si>
    <t>JUMLAH</t>
  </si>
  <si>
    <t>: KELAPA SAWIT</t>
  </si>
  <si>
    <t>Jumlah       (Ha)</t>
  </si>
  <si>
    <t>: KAKAO</t>
  </si>
  <si>
    <t>Jumlah        (Ha)</t>
  </si>
  <si>
    <t>SURO</t>
  </si>
  <si>
    <t>: PINANG</t>
  </si>
  <si>
    <t>: KELAPA DALAM</t>
  </si>
  <si>
    <t>: SAGU</t>
  </si>
  <si>
    <t>Jumlah    (Ha)</t>
  </si>
  <si>
    <t>: NILAM</t>
  </si>
  <si>
    <t>: AREN</t>
  </si>
  <si>
    <t>Jumlah     (Ha)</t>
  </si>
  <si>
    <t>: KOPI</t>
  </si>
  <si>
    <t>Jumlah          (Ha)</t>
  </si>
  <si>
    <t>: KAPUK</t>
  </si>
  <si>
    <t>Jumlah      (Ha)</t>
  </si>
  <si>
    <t>tbm</t>
  </si>
  <si>
    <t>tm</t>
  </si>
  <si>
    <t>tr</t>
  </si>
  <si>
    <t>kk</t>
  </si>
  <si>
    <t>: CENGKEH</t>
  </si>
  <si>
    <t>:KEMIRI</t>
  </si>
  <si>
    <t>:LADA</t>
  </si>
  <si>
    <t>TAHUN 2021</t>
  </si>
  <si>
    <t>OKE</t>
  </si>
  <si>
    <t>oke</t>
  </si>
  <si>
    <t xml:space="preserve">TBM  : Tanaman Belum Menghasilkan </t>
  </si>
  <si>
    <t xml:space="preserve">TM    : Tanaman  Menghasilkan </t>
  </si>
  <si>
    <t>TR    : Tanaman Rusak</t>
  </si>
  <si>
    <t>TAHUN 2020</t>
  </si>
  <si>
    <t>ha</t>
  </si>
  <si>
    <t xml:space="preserve">: </t>
  </si>
  <si>
    <t>KOTA BAHARI</t>
  </si>
  <si>
    <t>:</t>
  </si>
  <si>
    <t xml:space="preserve">         TBM    : Tanaman Belum Menghasilkan </t>
  </si>
  <si>
    <t xml:space="preserve">           TR     : Tanaman Rusak</t>
  </si>
  <si>
    <t>:PALA</t>
  </si>
  <si>
    <t>2</t>
  </si>
  <si>
    <t>:SERE WANGI</t>
  </si>
  <si>
    <t>REKAPITULASI PERKEMBANGAN AREAL DAN PRODUKSI</t>
  </si>
  <si>
    <t>NO</t>
  </si>
  <si>
    <t>LUAS AREAL (Ha)</t>
  </si>
  <si>
    <t>PRODUKSI</t>
  </si>
  <si>
    <t>RATA-RATA</t>
  </si>
  <si>
    <t xml:space="preserve">WUJUD </t>
  </si>
  <si>
    <t>(HA)</t>
  </si>
  <si>
    <t>(TON)</t>
  </si>
  <si>
    <t>PRODUKTIVITAS</t>
  </si>
  <si>
    <t>PETANI</t>
  </si>
  <si>
    <t>(Kg/Ha)</t>
  </si>
  <si>
    <t>(KK)</t>
  </si>
  <si>
    <t>Karet</t>
  </si>
  <si>
    <t>K3</t>
  </si>
  <si>
    <t>Kelapa Dalam</t>
  </si>
  <si>
    <t>Kopra</t>
  </si>
  <si>
    <t>Kelapa Sawit</t>
  </si>
  <si>
    <t>CPO</t>
  </si>
  <si>
    <t>Kopi</t>
  </si>
  <si>
    <t>Biji Kering</t>
  </si>
  <si>
    <t>Kakao</t>
  </si>
  <si>
    <t>Cengkeh</t>
  </si>
  <si>
    <t>Bunga Kering</t>
  </si>
  <si>
    <t>Lada</t>
  </si>
  <si>
    <t>Lada hitam</t>
  </si>
  <si>
    <t>Jambu Mete</t>
  </si>
  <si>
    <t>Tebu</t>
  </si>
  <si>
    <t>Gula</t>
  </si>
  <si>
    <t>Tembakau</t>
  </si>
  <si>
    <t>Daun Kering</t>
  </si>
  <si>
    <t>Pala</t>
  </si>
  <si>
    <t>Pinang</t>
  </si>
  <si>
    <t>Kapuk/Randu</t>
  </si>
  <si>
    <t>Serat Kering</t>
  </si>
  <si>
    <t>Kemiri</t>
  </si>
  <si>
    <t>Sagu</t>
  </si>
  <si>
    <t>Tepung</t>
  </si>
  <si>
    <t>Aren</t>
  </si>
  <si>
    <t>Gula Merah</t>
  </si>
  <si>
    <t>Casiavera</t>
  </si>
  <si>
    <t>Kulit Kering</t>
  </si>
  <si>
    <t>Gambir</t>
  </si>
  <si>
    <t>Getah Bening</t>
  </si>
  <si>
    <t>Nilam</t>
  </si>
  <si>
    <t>Minyak</t>
  </si>
  <si>
    <t>Sere Wangi</t>
  </si>
  <si>
    <t>Jarak</t>
  </si>
  <si>
    <t>: Tanaman Belum menghasilkan</t>
  </si>
  <si>
    <t>KEPALA DINAS PERKEBUNAN</t>
  </si>
  <si>
    <t>KABUPATEN ACEH SINGKIL</t>
  </si>
  <si>
    <t>ZULKIFLI, SP</t>
  </si>
  <si>
    <t>NIP.19641231 198303 1 018</t>
  </si>
  <si>
    <t>DAFTAR PERKEMBANGAN LUAS AREAL TANAMAN MENGHASILKAN (TM ) DAN PRODUKSI KOMODITI PERKEBUNAN PERBULAN TAHUN 2023</t>
  </si>
  <si>
    <t>KABUPATEN / KOTA : ACEH SINGKIL</t>
  </si>
  <si>
    <t>PRODUKSI (TON)</t>
  </si>
  <si>
    <t xml:space="preserve">      PRODUKSI (TON)</t>
  </si>
  <si>
    <t xml:space="preserve">     JANUARI</t>
  </si>
  <si>
    <t xml:space="preserve">    FEBRUARI</t>
  </si>
  <si>
    <t xml:space="preserve">      MARET</t>
  </si>
  <si>
    <t xml:space="preserve">        APRIL</t>
  </si>
  <si>
    <t xml:space="preserve">          MEI</t>
  </si>
  <si>
    <t xml:space="preserve">          JUNI</t>
  </si>
  <si>
    <t>JULI</t>
  </si>
  <si>
    <t>AGUSTUS</t>
  </si>
  <si>
    <t>SEPTEMBER</t>
  </si>
  <si>
    <t>OKTOBER</t>
  </si>
  <si>
    <t>NOVEMBER</t>
  </si>
  <si>
    <t>DESEMBER</t>
  </si>
  <si>
    <t>Produksi</t>
  </si>
  <si>
    <t>(Ha)</t>
  </si>
  <si>
    <t xml:space="preserve">    (Ha)</t>
  </si>
  <si>
    <t xml:space="preserve">KOPI </t>
  </si>
  <si>
    <t>JAMBU METE</t>
  </si>
  <si>
    <t>TEMBAKAU</t>
  </si>
  <si>
    <t>KAPUK RANDU</t>
  </si>
  <si>
    <t>CASSIAVERA</t>
  </si>
  <si>
    <t>GAMBIR</t>
  </si>
  <si>
    <t>SEREWANGI</t>
  </si>
  <si>
    <t>JARAK</t>
  </si>
  <si>
    <t>DAFTAR PERKEMBANGAN LUAS AREAL TANAMAN MENGHASILKAN (TM ) DAN PRODUKSI KOMODITI PERKEBUNAN TRIWULAN TAHUN 2022</t>
  </si>
  <si>
    <t>TAHUN ANGGARAN 2022</t>
  </si>
  <si>
    <t xml:space="preserve">              KABUPATEN / KOTA  : ACEH SINGKIL</t>
  </si>
  <si>
    <t xml:space="preserve">     TRIWULAN I</t>
  </si>
  <si>
    <t xml:space="preserve">     TRIWULAN II</t>
  </si>
  <si>
    <t xml:space="preserve">     TRIWULAN III</t>
  </si>
  <si>
    <t>TRIWULAN IV</t>
  </si>
  <si>
    <t xml:space="preserve"> (TON)</t>
  </si>
  <si>
    <t>Aceh Singkil, 27 Februari 2023</t>
  </si>
  <si>
    <t>REKAP POTENSI LAHAN KOMODITI PERKEBUNAN RAKYAT</t>
  </si>
  <si>
    <t>TAHUN 2024</t>
  </si>
  <si>
    <t>KECAMATAN</t>
  </si>
  <si>
    <t>KELAPA SAWIT (ha)</t>
  </si>
  <si>
    <t>KARET (ha)</t>
  </si>
  <si>
    <t>KELAPA DALAM (ha)</t>
  </si>
  <si>
    <t>CENGKEH (ha)</t>
  </si>
  <si>
    <t>PINANG (ha)</t>
  </si>
  <si>
    <t>JUMLAH (ha)</t>
  </si>
  <si>
    <t>K.SAWIT 2014</t>
  </si>
  <si>
    <t>KARET 2014</t>
  </si>
  <si>
    <t>K.DALAM (ha)</t>
  </si>
  <si>
    <t>KAKAO (ha)</t>
  </si>
  <si>
    <t>NB</t>
  </si>
  <si>
    <t>: luas potensi lahan</t>
  </si>
  <si>
    <t>Singkil Utara, 12 September 2023</t>
  </si>
  <si>
    <t xml:space="preserve">  adalah tanaman tua dan   </t>
  </si>
  <si>
    <t xml:space="preserve">  rusak</t>
  </si>
  <si>
    <t>NIP. 19641231 198303 1 018</t>
  </si>
  <si>
    <t xml:space="preserve">ANGKA ESTIMASI LUAS AREAL DAN PRODUKSI </t>
  </si>
  <si>
    <t>SERE  WANGI</t>
  </si>
  <si>
    <t xml:space="preserve"> TBM    : Tanaman Belum Menghasilkan </t>
  </si>
  <si>
    <t xml:space="preserve"> TM      : Tanaman  Menghasilkan </t>
  </si>
  <si>
    <t xml:space="preserve"> TR       : Tanaman Rusak</t>
  </si>
  <si>
    <t>Singkil Utara, 27 Februari 2023</t>
  </si>
  <si>
    <t>DAFTAR</t>
  </si>
  <si>
    <t>:  NAMA - NAMA PETUGAS MANTRI PERKEBUNAN ( MANBUN )</t>
  </si>
  <si>
    <t xml:space="preserve">   DAN PETUGAS PANGELOLA DATA STATISTIK</t>
  </si>
  <si>
    <t xml:space="preserve">   KABUPATEN ACEH SINGKIL</t>
  </si>
  <si>
    <t xml:space="preserve">   TAHUN ANGGARAN :  2020</t>
  </si>
  <si>
    <t>NAMA/ NIP</t>
  </si>
  <si>
    <t>PANGKAT/ GOL</t>
  </si>
  <si>
    <t>JABATAN/ WILAYAH BINAAN/ KECAMATAN</t>
  </si>
  <si>
    <t>KET</t>
  </si>
  <si>
    <t>Hesti Rahmasari, SP</t>
  </si>
  <si>
    <t>Penata Muda/ III a</t>
  </si>
  <si>
    <t xml:space="preserve">Sugianto, SP </t>
  </si>
  <si>
    <t>Manbun/ Singkohor</t>
  </si>
  <si>
    <t>Manbun/ Danau Paris</t>
  </si>
  <si>
    <t xml:space="preserve">Khairul Mihbar </t>
  </si>
  <si>
    <t>Manbun/ Kuala Baru</t>
  </si>
  <si>
    <t xml:space="preserve">Usuludin, A.Md </t>
  </si>
  <si>
    <t>Manbun/ Singkil</t>
  </si>
  <si>
    <t xml:space="preserve">Redi Kurniawan </t>
  </si>
  <si>
    <t>Manbun/ Pulau Banyak Barat</t>
  </si>
  <si>
    <t xml:space="preserve">M. Nasir Syam </t>
  </si>
  <si>
    <t>Manbun/ Simpang Kanan</t>
  </si>
  <si>
    <t xml:space="preserve">Henni Novianti </t>
  </si>
  <si>
    <t>Manbun/ Pulau Banyak</t>
  </si>
  <si>
    <t xml:space="preserve">Sholihin </t>
  </si>
  <si>
    <t>Manbun/ Kota Baharu</t>
  </si>
  <si>
    <t xml:space="preserve">Asparlin Sugianto </t>
  </si>
  <si>
    <t>Manbun/ Suro</t>
  </si>
  <si>
    <t xml:space="preserve">Sariaman </t>
  </si>
  <si>
    <t>Manbun/ Gunung Meriah</t>
  </si>
  <si>
    <t>Manbun/ Singkil Utara</t>
  </si>
  <si>
    <t>Jumlah</t>
  </si>
  <si>
    <t>Singkil,       Maret  2020</t>
  </si>
  <si>
    <t>REKAP POTENSI AREAL  KOMODITI PERKEBUNAN RAKYAT</t>
  </si>
  <si>
    <t>TAHUN 2019</t>
  </si>
  <si>
    <t>K.SAWIT (ha)</t>
  </si>
  <si>
    <t>: luas potensi areal</t>
  </si>
  <si>
    <t>SINGKIL UTARA,       2020</t>
  </si>
  <si>
    <t>NIP.</t>
  </si>
  <si>
    <t>NIP. 196309151988031005</t>
  </si>
  <si>
    <t>DAFTAR ISI</t>
  </si>
  <si>
    <t>KATA PENGANTAR</t>
  </si>
  <si>
    <t>..................................................................................................................</t>
  </si>
  <si>
    <t>I</t>
  </si>
  <si>
    <t>..................................................................................................................................</t>
  </si>
  <si>
    <t>II</t>
  </si>
  <si>
    <t>..............................................................</t>
  </si>
  <si>
    <t>III</t>
  </si>
  <si>
    <t>Rekapitulasi Perkebangan Areal dan Produksi Komoditi Perkebunan Rakyat Kabupaten Aceh Singkil</t>
  </si>
  <si>
    <t>Kecamatan Suro Tahun 2019</t>
  </si>
  <si>
    <t>........................................................................................................</t>
  </si>
  <si>
    <t>Kecamatan Simpang Kanan Tahun 2019 .................................................................................................</t>
  </si>
  <si>
    <t>.........................................................................................................</t>
  </si>
  <si>
    <t>Kecamatan Danau Paris Tahun 2019</t>
  </si>
  <si>
    <t>.................................................................................</t>
  </si>
  <si>
    <t>Kecamatan Singkohor Tahun 2019</t>
  </si>
  <si>
    <t>...................................................................................</t>
  </si>
  <si>
    <t>Kecamatan Gunung Meriah Tahun 2019 ...................................................................................................</t>
  </si>
  <si>
    <t>Kecamatan Kota Baharu Tahun 2019 .............................................................................................</t>
  </si>
  <si>
    <t>Kecamatan Singkil Utara Tahun 2019 .............................................................................................</t>
  </si>
  <si>
    <t>Kecamatan Singkil Tahun 2019 .....................................................................................................</t>
  </si>
  <si>
    <t>Kecamatan Kuala Baru Tahun 2019 ..............................................................................................</t>
  </si>
  <si>
    <t>Kecamatan Pulau banyak Tahun 2019 ........................................................................................</t>
  </si>
  <si>
    <t>Kecamatan Pulau Banyak Barat Tahun 2019 ..................................................................................</t>
  </si>
  <si>
    <t>Alasan data statistik ATAP 2019</t>
  </si>
  <si>
    <t xml:space="preserve">Nilam </t>
  </si>
  <si>
    <t>Di Kecamatan suro dialihfungsikan menjadi tanaman sere wangi sebanyak 8 ha</t>
  </si>
  <si>
    <t>Di Kecamatan Pulau Banyak Barat beralih fungsi ketanaman cengkeh 11 Ha</t>
  </si>
  <si>
    <t>Kelapa</t>
  </si>
  <si>
    <t>Kelapa Dalam Di Kecamatan Pulau Banyak petaninya beralih fungsi membuat bungalau dan pemukiman</t>
  </si>
  <si>
    <t>Daerah Wisata</t>
  </si>
  <si>
    <t>Di Kuta Baharu banyak di tebang dan dijadikan bahan kayu sebanyak 4 ha dan pemukiman</t>
  </si>
  <si>
    <t xml:space="preserve">Di Kecamatan Singkil 10 ha terkena abrasi pantai dan 2 ha untuk pemukiman penduduk dan 28 ha </t>
  </si>
  <si>
    <t>beralih fungsi menaman kelapa sawit</t>
  </si>
  <si>
    <t xml:space="preserve">Di Kecamatan Pulau Banyak petaninya beralih fungsi dari tanaman cengkeh ke tanaman pinang sebanyah 6 ha </t>
  </si>
  <si>
    <t>Jumlah petaninya bertambah 2 Orang</t>
  </si>
  <si>
    <t>di Kecamatan Kuta baharu banyak masyarakat menanam pinang untuk batas lahan dan rumah</t>
  </si>
  <si>
    <t>Sawit</t>
  </si>
  <si>
    <t>Dikecamatan Kuta Baharu ada pengurangan lahan dan jumlah petani</t>
  </si>
  <si>
    <t>DiKecamatan Kuta Baharu ada penambahan dari karet ke sawit</t>
  </si>
  <si>
    <t>telah berkurang sebanyal 2 ha krn telah ditumbang jadi tepung sagu</t>
  </si>
  <si>
    <t>TAHUN ANGGARAN 2024</t>
  </si>
  <si>
    <t>Aceh Singkil, 14 Juni 2024</t>
  </si>
  <si>
    <t>ANGKA TETAP TAHUN 2024</t>
  </si>
  <si>
    <t>Plt. KEPALA DINAS PERKEBUNAN</t>
  </si>
  <si>
    <t>JUNAIDI, S.STP, M.Si</t>
  </si>
  <si>
    <t>NIP.19740113 199412 1 001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</si>
</sst>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_);_(@_)"/>
    <numFmt numFmtId="166" formatCode="_(* #,##0.0_);_(* \(#,##0.0\);_(* &quot;-&quot;??_);_(@_)"/>
    <numFmt numFmtId="167" formatCode="_(* #,##0.00_);_(* \(#,##0.00\);_(* &quot;-&quot;_);_(@_)"/>
    <numFmt numFmtId="168" formatCode="#,##0.0"/>
    <numFmt numFmtId="169" formatCode="_(* #,##0.0_);_(* \(#,##0.0\);_(* &quot;-&quot;?_);_(@_)"/>
    <numFmt numFmtId="170" formatCode="_(* #,##0.00_);_(* \(#,##0.00\);_(* &quot;-&quot;??.00_);_(@_)"/>
    <numFmt numFmtId="171" formatCode="#,##0.0_);\(#,##0.0\)"/>
    <numFmt numFmtId="172" formatCode="_(* #,##0.0_);_(* \(#,##0.0\);_(* &quot;-&quot;??.0_);_(@_)"/>
    <numFmt numFmtId="173" formatCode="_(* #,##0.00_);_(* \(#,##0.00\);_(* &quot;-&quot;??.0_);_(@_)"/>
    <numFmt numFmtId="174" formatCode="_(* #,##0.000_);_(* \(#,##0.000\);_(* &quot;-&quot;??_);_(@_)"/>
    <numFmt numFmtId="175" formatCode="#,##0.000_);\(#,##0.000\)"/>
  </numFmts>
  <fonts count="50">
    <font>
      <sz val="10"/>
      <name val="Arial"/>
      <charset val="134"/>
    </font>
    <font>
      <sz val="10"/>
      <name val="Arial"/>
      <charset val="134"/>
    </font>
    <font>
      <b/>
      <u/>
      <sz val="14"/>
      <name val="Arial Narrow"/>
      <charset val="134"/>
    </font>
    <font>
      <b/>
      <u/>
      <sz val="10"/>
      <name val="Arial"/>
      <charset val="134"/>
    </font>
    <font>
      <sz val="12"/>
      <name val="Times New Roman"/>
      <charset val="134"/>
    </font>
    <font>
      <sz val="12"/>
      <name val="Arial"/>
      <charset val="134"/>
    </font>
    <font>
      <sz val="11"/>
      <name val="Arial"/>
      <charset val="134"/>
    </font>
    <font>
      <sz val="11"/>
      <color theme="1"/>
      <name val="Calibri"/>
      <charset val="1"/>
      <scheme val="minor"/>
    </font>
    <font>
      <b/>
      <sz val="18"/>
      <color indexed="8"/>
      <name val="Calibri"/>
      <charset val="134"/>
    </font>
    <font>
      <b/>
      <sz val="12"/>
      <name val="Calibri"/>
      <charset val="134"/>
      <scheme val="minor"/>
    </font>
    <font>
      <i/>
      <sz val="11"/>
      <color indexed="8"/>
      <name val="Calibri"/>
      <charset val="134"/>
    </font>
    <font>
      <b/>
      <u/>
      <sz val="11"/>
      <color indexed="8"/>
      <name val="Calibri"/>
      <charset val="134"/>
    </font>
    <font>
      <sz val="9"/>
      <name val="Arial"/>
      <charset val="134"/>
    </font>
    <font>
      <b/>
      <sz val="10"/>
      <name val="Arial"/>
      <charset val="134"/>
    </font>
    <font>
      <b/>
      <u/>
      <sz val="9"/>
      <color indexed="8"/>
      <name val="Calibri"/>
      <charset val="134"/>
    </font>
    <font>
      <b/>
      <sz val="14"/>
      <color indexed="8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0"/>
      <color indexed="8"/>
      <name val="Calibri"/>
      <charset val="134"/>
    </font>
    <font>
      <b/>
      <sz val="11"/>
      <color theme="1"/>
      <name val="Calibri"/>
      <charset val="1"/>
      <scheme val="minor"/>
    </font>
    <font>
      <b/>
      <u/>
      <sz val="11"/>
      <color indexed="8"/>
      <name val="Arial"/>
      <charset val="134"/>
    </font>
    <font>
      <b/>
      <sz val="9"/>
      <name val="Bahnschrift"/>
      <charset val="134"/>
    </font>
    <font>
      <sz val="9"/>
      <name val="Bahnschrift"/>
      <charset val="134"/>
    </font>
    <font>
      <b/>
      <sz val="9"/>
      <color theme="1"/>
      <name val="Arial"/>
      <charset val="134"/>
    </font>
    <font>
      <b/>
      <sz val="9"/>
      <name val="Arial"/>
      <charset val="134"/>
    </font>
    <font>
      <sz val="10"/>
      <color theme="1"/>
      <name val="Calibri"/>
      <charset val="1"/>
      <scheme val="minor"/>
    </font>
    <font>
      <sz val="10"/>
      <name val="Calibri"/>
      <charset val="134"/>
      <scheme val="minor"/>
    </font>
    <font>
      <sz val="10"/>
      <color theme="1"/>
      <name val="Arial"/>
      <charset val="134"/>
    </font>
    <font>
      <b/>
      <u/>
      <sz val="9"/>
      <color indexed="8"/>
      <name val="Arial"/>
      <charset val="134"/>
    </font>
    <font>
      <sz val="9"/>
      <color theme="1"/>
      <name val="Arial"/>
      <charset val="134"/>
    </font>
    <font>
      <b/>
      <u/>
      <sz val="9"/>
      <color theme="1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b/>
      <sz val="8"/>
      <color theme="1"/>
      <name val="Calibri"/>
      <charset val="1"/>
      <scheme val="minor"/>
    </font>
    <font>
      <sz val="8"/>
      <color theme="1"/>
      <name val="Calibri"/>
      <charset val="1"/>
      <scheme val="minor"/>
    </font>
    <font>
      <sz val="9"/>
      <color theme="1"/>
      <name val="Calibri"/>
      <charset val="1"/>
      <scheme val="minor"/>
    </font>
    <font>
      <sz val="9"/>
      <name val="Calibri"/>
      <charset val="134"/>
      <scheme val="minor"/>
    </font>
    <font>
      <sz val="8"/>
      <color theme="1"/>
      <name val="Arial"/>
      <charset val="134"/>
    </font>
    <font>
      <b/>
      <u/>
      <sz val="8"/>
      <color indexed="8"/>
      <name val="Arial"/>
      <charset val="134"/>
    </font>
    <font>
      <b/>
      <u/>
      <sz val="8"/>
      <color theme="1"/>
      <name val="Calibri"/>
      <charset val="134"/>
      <scheme val="minor"/>
    </font>
    <font>
      <b/>
      <sz val="12"/>
      <name val="Arial"/>
      <charset val="134"/>
    </font>
    <font>
      <b/>
      <u/>
      <sz val="10"/>
      <color indexed="8"/>
      <name val="Calibri"/>
      <charset val="134"/>
      <scheme val="minor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u/>
      <sz val="10"/>
      <name val="Arial"/>
      <charset val="134"/>
    </font>
    <font>
      <sz val="11"/>
      <color theme="1"/>
      <name val="Calibri"/>
      <charset val="134"/>
      <scheme val="minor"/>
    </font>
    <font>
      <b/>
      <sz val="9"/>
      <name val="Tahoma"/>
      <charset val="134"/>
    </font>
    <font>
      <sz val="9"/>
      <name val="Tahoma"/>
      <charset val="134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gray125"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/>
      <top style="double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thin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1" fillId="0" borderId="0" applyFont="0" applyFill="0" applyBorder="0" applyAlignment="0" applyProtection="0"/>
  </cellStyleXfs>
  <cellXfs count="7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19"/>
    <xf numFmtId="0" fontId="1" fillId="0" borderId="1" xfId="19" applyFont="1" applyBorder="1" applyAlignment="1">
      <alignment horizontal="center" vertical="center"/>
    </xf>
    <xf numFmtId="0" fontId="9" fillId="0" borderId="2" xfId="19" applyFont="1" applyBorder="1" applyAlignment="1">
      <alignment horizontal="center" vertical="center"/>
    </xf>
    <xf numFmtId="0" fontId="9" fillId="0" borderId="2" xfId="19" applyFont="1" applyBorder="1" applyAlignment="1">
      <alignment horizontal="center" vertical="center" wrapText="1"/>
    </xf>
    <xf numFmtId="0" fontId="10" fillId="2" borderId="1" xfId="19" applyFont="1" applyFill="1" applyBorder="1" applyAlignment="1">
      <alignment horizontal="center"/>
    </xf>
    <xf numFmtId="0" fontId="10" fillId="2" borderId="2" xfId="19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164" fontId="0" fillId="0" borderId="5" xfId="1" applyNumberFormat="1" applyFont="1" applyBorder="1" applyAlignment="1">
      <alignment horizontal="right" wrapText="1"/>
    </xf>
    <xf numFmtId="164" fontId="0" fillId="0" borderId="6" xfId="8" applyNumberFormat="1" applyFont="1" applyBorder="1" applyAlignment="1">
      <alignment horizontal="righ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right" wrapText="1"/>
    </xf>
    <xf numFmtId="164" fontId="0" fillId="0" borderId="10" xfId="8" applyNumberFormat="1" applyFont="1" applyBorder="1" applyAlignment="1">
      <alignment horizontal="right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right" wrapText="1"/>
    </xf>
    <xf numFmtId="1" fontId="0" fillId="0" borderId="5" xfId="0" applyNumberFormat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164" fontId="0" fillId="0" borderId="9" xfId="1" applyNumberFormat="1" applyFont="1" applyBorder="1" applyAlignment="1">
      <alignment horizontal="right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164" fontId="0" fillId="0" borderId="5" xfId="1" applyNumberFormat="1" applyFont="1" applyBorder="1" applyAlignment="1">
      <alignment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right" wrapText="1"/>
    </xf>
    <xf numFmtId="164" fontId="0" fillId="0" borderId="2" xfId="1" applyNumberFormat="1" applyFont="1" applyBorder="1" applyAlignment="1">
      <alignment horizontal="right"/>
    </xf>
    <xf numFmtId="0" fontId="0" fillId="0" borderId="19" xfId="0" applyBorder="1" applyAlignment="1">
      <alignment horizontal="right"/>
    </xf>
    <xf numFmtId="164" fontId="0" fillId="0" borderId="2" xfId="0" applyNumberFormat="1" applyBorder="1" applyAlignment="1">
      <alignment horizontal="center"/>
    </xf>
    <xf numFmtId="164" fontId="7" fillId="0" borderId="2" xfId="19" applyNumberFormat="1" applyBorder="1" applyAlignment="1">
      <alignment horizontal="right"/>
    </xf>
    <xf numFmtId="164" fontId="7" fillId="0" borderId="0" xfId="19" applyNumberFormat="1"/>
    <xf numFmtId="0" fontId="7" fillId="0" borderId="0" xfId="19" applyFill="1" applyBorder="1" applyAlignment="1">
      <alignment wrapText="1"/>
    </xf>
    <xf numFmtId="0" fontId="7" fillId="0" borderId="0" xfId="19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9" applyFont="1" applyAlignment="1"/>
    <xf numFmtId="0" fontId="9" fillId="0" borderId="0" xfId="19" applyFont="1" applyFill="1" applyBorder="1" applyAlignment="1">
      <alignment horizontal="center" vertical="center" wrapText="1"/>
    </xf>
    <xf numFmtId="0" fontId="7" fillId="0" borderId="6" xfId="19" applyBorder="1" applyAlignment="1">
      <alignment horizontal="right" wrapText="1"/>
    </xf>
    <xf numFmtId="10" fontId="7" fillId="0" borderId="0" xfId="19" applyNumberFormat="1"/>
    <xf numFmtId="1" fontId="7" fillId="0" borderId="0" xfId="19" applyNumberFormat="1"/>
    <xf numFmtId="41" fontId="0" fillId="0" borderId="0" xfId="3" applyNumberFormat="1" applyFont="1"/>
    <xf numFmtId="0" fontId="7" fillId="0" borderId="10" xfId="19" applyBorder="1" applyAlignment="1">
      <alignment horizontal="right" wrapText="1"/>
    </xf>
    <xf numFmtId="164" fontId="7" fillId="0" borderId="10" xfId="19" applyNumberFormat="1" applyBorder="1" applyAlignment="1">
      <alignment horizontal="right" wrapText="1"/>
    </xf>
    <xf numFmtId="0" fontId="11" fillId="0" borderId="0" xfId="19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0" fontId="12" fillId="0" borderId="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28" xfId="0" applyFont="1" applyBorder="1" applyAlignment="1">
      <alignment horizontal="center"/>
    </xf>
    <xf numFmtId="0" fontId="12" fillId="0" borderId="31" xfId="0" applyFont="1" applyBorder="1"/>
    <xf numFmtId="0" fontId="12" fillId="0" borderId="3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/>
    <xf numFmtId="0" fontId="12" fillId="0" borderId="32" xfId="0" applyFont="1" applyBorder="1"/>
    <xf numFmtId="0" fontId="12" fillId="0" borderId="33" xfId="0" applyFont="1" applyBorder="1"/>
    <xf numFmtId="0" fontId="12" fillId="0" borderId="34" xfId="0" applyFont="1" applyBorder="1" applyAlignment="1">
      <alignment horizontal="center"/>
    </xf>
    <xf numFmtId="0" fontId="12" fillId="0" borderId="35" xfId="0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45" xfId="0" applyBorder="1" applyAlignment="1">
      <alignment vertical="center" wrapText="1"/>
    </xf>
    <xf numFmtId="3" fontId="0" fillId="0" borderId="45" xfId="0" applyNumberFormat="1" applyBorder="1" applyAlignment="1">
      <alignment vertical="center"/>
    </xf>
    <xf numFmtId="164" fontId="0" fillId="0" borderId="45" xfId="1" applyNumberFormat="1" applyFont="1" applyBorder="1" applyAlignment="1">
      <alignment horizontal="right" vertical="center" wrapText="1"/>
    </xf>
    <xf numFmtId="165" fontId="0" fillId="0" borderId="45" xfId="2" applyNumberFormat="1" applyFont="1" applyBorder="1" applyAlignment="1">
      <alignment horizontal="right" vertical="center" wrapText="1"/>
    </xf>
    <xf numFmtId="164" fontId="0" fillId="0" borderId="45" xfId="1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164" fontId="0" fillId="0" borderId="5" xfId="1" applyNumberFormat="1" applyFont="1" applyBorder="1" applyAlignment="1">
      <alignment horizontal="right" vertical="center" wrapText="1"/>
    </xf>
    <xf numFmtId="165" fontId="0" fillId="0" borderId="5" xfId="2" applyNumberFormat="1" applyFont="1" applyBorder="1" applyAlignment="1">
      <alignment horizontal="right" vertical="center" wrapText="1"/>
    </xf>
    <xf numFmtId="164" fontId="0" fillId="0" borderId="5" xfId="1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/>
    </xf>
    <xf numFmtId="165" fontId="1" fillId="0" borderId="5" xfId="2" applyNumberFormat="1" applyFont="1" applyBorder="1" applyAlignment="1">
      <alignment horizontal="right" vertical="center"/>
    </xf>
    <xf numFmtId="166" fontId="1" fillId="0" borderId="5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 wrapText="1"/>
    </xf>
    <xf numFmtId="166" fontId="0" fillId="0" borderId="5" xfId="1" applyNumberFormat="1" applyFont="1" applyBorder="1" applyAlignment="1">
      <alignment horizontal="right" vertical="center" wrapText="1"/>
    </xf>
    <xf numFmtId="167" fontId="0" fillId="0" borderId="5" xfId="2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164" fontId="0" fillId="0" borderId="14" xfId="1" applyNumberFormat="1" applyFont="1" applyBorder="1" applyAlignment="1">
      <alignment horizontal="right" vertical="center" wrapText="1"/>
    </xf>
    <xf numFmtId="165" fontId="0" fillId="0" borderId="14" xfId="2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right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164" fontId="0" fillId="0" borderId="47" xfId="1" applyNumberFormat="1" applyFont="1" applyBorder="1" applyAlignment="1">
      <alignment horizontal="right" vertical="center" wrapText="1"/>
    </xf>
    <xf numFmtId="165" fontId="0" fillId="0" borderId="47" xfId="2" applyNumberFormat="1" applyFont="1" applyBorder="1" applyAlignment="1">
      <alignment horizontal="right" vertical="center" wrapText="1"/>
    </xf>
    <xf numFmtId="0" fontId="0" fillId="0" borderId="48" xfId="0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166" fontId="0" fillId="0" borderId="13" xfId="1" applyNumberFormat="1" applyFont="1" applyBorder="1" applyAlignment="1">
      <alignment horizontal="right" vertical="center" wrapText="1"/>
    </xf>
    <xf numFmtId="164" fontId="0" fillId="0" borderId="13" xfId="1" applyNumberFormat="1" applyFont="1" applyBorder="1" applyAlignment="1">
      <alignment horizontal="right" vertical="center" wrapText="1"/>
    </xf>
    <xf numFmtId="165" fontId="0" fillId="0" borderId="13" xfId="2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12" fillId="0" borderId="0" xfId="0" applyFont="1" applyAlignment="1">
      <alignment horizontal="left"/>
    </xf>
    <xf numFmtId="164" fontId="0" fillId="0" borderId="0" xfId="1" applyNumberFormat="1" applyFont="1" applyBorder="1" applyAlignment="1">
      <alignment horizontal="right" wrapText="1"/>
    </xf>
    <xf numFmtId="0" fontId="10" fillId="2" borderId="51" xfId="0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164" fontId="0" fillId="0" borderId="52" xfId="1" applyNumberFormat="1" applyFont="1" applyBorder="1" applyAlignment="1">
      <alignment horizontal="right" vertical="center"/>
    </xf>
    <xf numFmtId="164" fontId="0" fillId="0" borderId="53" xfId="1" applyNumberFormat="1" applyFont="1" applyBorder="1" applyAlignment="1">
      <alignment horizontal="right" vertical="center" wrapText="1"/>
    </xf>
    <xf numFmtId="164" fontId="0" fillId="0" borderId="5" xfId="1" applyNumberFormat="1" applyFont="1" applyBorder="1" applyAlignment="1">
      <alignment horizontal="right" vertical="center"/>
    </xf>
    <xf numFmtId="164" fontId="0" fillId="0" borderId="53" xfId="1" applyNumberFormat="1" applyFont="1" applyBorder="1" applyAlignment="1">
      <alignment horizontal="right" vertical="center"/>
    </xf>
    <xf numFmtId="164" fontId="0" fillId="0" borderId="54" xfId="1" applyNumberFormat="1" applyFont="1" applyBorder="1" applyAlignment="1">
      <alignment horizontal="right" vertical="center" wrapText="1"/>
    </xf>
    <xf numFmtId="164" fontId="0" fillId="0" borderId="55" xfId="1" applyNumberFormat="1" applyFont="1" applyBorder="1" applyAlignment="1">
      <alignment horizontal="right" vertical="center" wrapText="1"/>
    </xf>
    <xf numFmtId="164" fontId="0" fillId="0" borderId="56" xfId="1" applyNumberFormat="1" applyFont="1" applyBorder="1" applyAlignment="1">
      <alignment horizontal="right" vertical="center" wrapText="1"/>
    </xf>
    <xf numFmtId="0" fontId="17" fillId="0" borderId="0" xfId="19" applyFont="1"/>
    <xf numFmtId="0" fontId="13" fillId="0" borderId="1" xfId="19" applyFont="1" applyBorder="1" applyAlignment="1">
      <alignment horizontal="center" vertical="center"/>
    </xf>
    <xf numFmtId="0" fontId="9" fillId="0" borderId="51" xfId="19" applyFont="1" applyBorder="1" applyAlignment="1">
      <alignment horizontal="center" vertical="center" wrapText="1"/>
    </xf>
    <xf numFmtId="0" fontId="18" fillId="2" borderId="1" xfId="19" applyFont="1" applyFill="1" applyBorder="1" applyAlignment="1">
      <alignment horizontal="center"/>
    </xf>
    <xf numFmtId="0" fontId="18" fillId="2" borderId="2" xfId="19" applyFont="1" applyFill="1" applyBorder="1" applyAlignment="1">
      <alignment horizontal="center"/>
    </xf>
    <xf numFmtId="0" fontId="18" fillId="2" borderId="51" xfId="19" applyFont="1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57" xfId="0" applyBorder="1" applyAlignment="1">
      <alignment horizontal="left" vertical="center" wrapText="1"/>
    </xf>
    <xf numFmtId="3" fontId="0" fillId="0" borderId="47" xfId="0" applyNumberFormat="1" applyBorder="1" applyAlignment="1">
      <alignment horizontal="right" wrapText="1"/>
    </xf>
    <xf numFmtId="3" fontId="1" fillId="0" borderId="58" xfId="0" applyNumberFormat="1" applyFont="1" applyBorder="1" applyAlignment="1">
      <alignment horizontal="right" wrapText="1"/>
    </xf>
    <xf numFmtId="37" fontId="0" fillId="0" borderId="47" xfId="1" applyNumberFormat="1" applyFont="1" applyBorder="1" applyAlignment="1">
      <alignment horizontal="right" wrapText="1"/>
    </xf>
    <xf numFmtId="164" fontId="0" fillId="0" borderId="59" xfId="8" applyNumberFormat="1" applyFont="1" applyBorder="1" applyAlignment="1">
      <alignment horizontal="right" wrapText="1"/>
    </xf>
    <xf numFmtId="3" fontId="1" fillId="0" borderId="9" xfId="0" applyNumberFormat="1" applyFont="1" applyBorder="1" applyAlignment="1">
      <alignment horizontal="right" wrapText="1"/>
    </xf>
    <xf numFmtId="164" fontId="0" fillId="0" borderId="60" xfId="8" applyNumberFormat="1" applyFont="1" applyBorder="1" applyAlignment="1">
      <alignment horizontal="right" wrapText="1"/>
    </xf>
    <xf numFmtId="0" fontId="0" fillId="0" borderId="43" xfId="0" applyBorder="1" applyAlignment="1">
      <alignment horizontal="left" vertical="center" wrapText="1"/>
    </xf>
    <xf numFmtId="3" fontId="1" fillId="0" borderId="31" xfId="0" applyNumberFormat="1" applyFont="1" applyBorder="1" applyAlignment="1">
      <alignment horizontal="right" wrapText="1"/>
    </xf>
    <xf numFmtId="164" fontId="0" fillId="0" borderId="49" xfId="8" applyNumberFormat="1" applyFont="1" applyBorder="1" applyAlignment="1">
      <alignment horizontal="right" wrapText="1"/>
    </xf>
    <xf numFmtId="3" fontId="13" fillId="0" borderId="2" xfId="1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right" vertical="center"/>
    </xf>
    <xf numFmtId="37" fontId="13" fillId="0" borderId="2" xfId="1" applyNumberFormat="1" applyFont="1" applyBorder="1" applyAlignment="1">
      <alignment horizontal="right" vertical="center" wrapText="1"/>
    </xf>
    <xf numFmtId="164" fontId="19" fillId="0" borderId="51" xfId="19" applyNumberFormat="1" applyFont="1" applyBorder="1" applyAlignment="1">
      <alignment horizontal="right" vertical="center"/>
    </xf>
    <xf numFmtId="3" fontId="7" fillId="0" borderId="0" xfId="19" applyNumberFormat="1"/>
    <xf numFmtId="0" fontId="22" fillId="0" borderId="0" xfId="0" applyFont="1"/>
    <xf numFmtId="0" fontId="23" fillId="0" borderId="29" xfId="0" applyFont="1" applyBorder="1"/>
    <xf numFmtId="0" fontId="24" fillId="0" borderId="31" xfId="0" applyFont="1" applyBorder="1" applyAlignment="1">
      <alignment horizontal="center"/>
    </xf>
    <xf numFmtId="0" fontId="23" fillId="0" borderId="31" xfId="0" applyFont="1" applyBorder="1"/>
    <xf numFmtId="0" fontId="24" fillId="0" borderId="29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23" xfId="0" applyFont="1" applyBorder="1"/>
    <xf numFmtId="0" fontId="24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5" fillId="0" borderId="26" xfId="0" applyFont="1" applyBorder="1"/>
    <xf numFmtId="3" fontId="25" fillId="0" borderId="26" xfId="0" applyNumberFormat="1" applyFont="1" applyBorder="1"/>
    <xf numFmtId="4" fontId="25" fillId="0" borderId="26" xfId="0" applyNumberFormat="1" applyFont="1" applyBorder="1"/>
    <xf numFmtId="3" fontId="26" fillId="0" borderId="14" xfId="0" applyNumberFormat="1" applyFont="1" applyFill="1" applyBorder="1" applyAlignment="1">
      <alignment vertical="center"/>
    </xf>
    <xf numFmtId="43" fontId="25" fillId="0" borderId="26" xfId="0" applyNumberFormat="1" applyFont="1" applyBorder="1" applyAlignment="1">
      <alignment horizontal="right"/>
    </xf>
    <xf numFmtId="41" fontId="25" fillId="0" borderId="26" xfId="0" applyNumberFormat="1" applyFont="1" applyBorder="1"/>
    <xf numFmtId="37" fontId="25" fillId="0" borderId="26" xfId="0" applyNumberFormat="1" applyFont="1" applyBorder="1"/>
    <xf numFmtId="1" fontId="25" fillId="0" borderId="26" xfId="0" applyNumberFormat="1" applyFont="1" applyBorder="1"/>
    <xf numFmtId="0" fontId="27" fillId="0" borderId="26" xfId="0" applyFont="1" applyBorder="1" applyAlignment="1">
      <alignment horizontal="center"/>
    </xf>
    <xf numFmtId="3" fontId="25" fillId="0" borderId="26" xfId="0" applyNumberFormat="1" applyFont="1" applyBorder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1" fillId="0" borderId="0" xfId="0" applyFont="1"/>
    <xf numFmtId="43" fontId="31" fillId="0" borderId="0" xfId="0" applyNumberFormat="1" applyFont="1"/>
    <xf numFmtId="0" fontId="33" fillId="0" borderId="29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/>
    </xf>
    <xf numFmtId="0" fontId="34" fillId="0" borderId="26" xfId="0" applyFont="1" applyBorder="1"/>
    <xf numFmtId="3" fontId="35" fillId="0" borderId="26" xfId="0" applyNumberFormat="1" applyFont="1" applyBorder="1"/>
    <xf numFmtId="4" fontId="35" fillId="0" borderId="26" xfId="0" applyNumberFormat="1" applyFont="1" applyBorder="1"/>
    <xf numFmtId="41" fontId="35" fillId="0" borderId="26" xfId="0" applyNumberFormat="1" applyFont="1" applyBorder="1"/>
    <xf numFmtId="0" fontId="35" fillId="0" borderId="26" xfId="0" applyFont="1" applyBorder="1"/>
    <xf numFmtId="0" fontId="34" fillId="0" borderId="26" xfId="0" applyFont="1" applyFill="1" applyBorder="1" applyAlignment="1">
      <alignment horizontal="center"/>
    </xf>
    <xf numFmtId="37" fontId="35" fillId="0" borderId="26" xfId="0" applyNumberFormat="1" applyFont="1" applyBorder="1"/>
    <xf numFmtId="1" fontId="35" fillId="0" borderId="26" xfId="0" applyNumberFormat="1" applyFont="1" applyBorder="1"/>
    <xf numFmtId="0" fontId="32" fillId="0" borderId="63" xfId="0" applyFont="1" applyBorder="1" applyAlignment="1">
      <alignment horizontal="center" vertical="center"/>
    </xf>
    <xf numFmtId="3" fontId="36" fillId="0" borderId="14" xfId="0" applyNumberFormat="1" applyFont="1" applyFill="1" applyBorder="1" applyAlignment="1">
      <alignment vertical="center"/>
    </xf>
    <xf numFmtId="0" fontId="37" fillId="0" borderId="0" xfId="0" applyFont="1" applyAlignment="1"/>
    <xf numFmtId="0" fontId="37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3" fontId="32" fillId="0" borderId="62" xfId="0" applyNumberFormat="1" applyFont="1" applyBorder="1" applyAlignment="1">
      <alignment horizontal="center" vertical="center"/>
    </xf>
    <xf numFmtId="43" fontId="33" fillId="0" borderId="29" xfId="0" applyNumberFormat="1" applyFont="1" applyBorder="1" applyAlignment="1">
      <alignment horizontal="center" vertical="center"/>
    </xf>
    <xf numFmtId="43" fontId="33" fillId="0" borderId="23" xfId="0" applyNumberFormat="1" applyFont="1" applyBorder="1" applyAlignment="1">
      <alignment horizontal="center" vertical="center"/>
    </xf>
    <xf numFmtId="0" fontId="34" fillId="0" borderId="0" xfId="0" applyFont="1"/>
    <xf numFmtId="0" fontId="39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Fill="1"/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12" fillId="0" borderId="6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2" fontId="12" fillId="0" borderId="31" xfId="0" applyNumberFormat="1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2" fontId="12" fillId="0" borderId="23" xfId="0" applyNumberFormat="1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1" fontId="12" fillId="0" borderId="69" xfId="0" applyNumberFormat="1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left" vertical="center"/>
    </xf>
    <xf numFmtId="168" fontId="1" fillId="0" borderId="14" xfId="0" applyNumberFormat="1" applyFont="1" applyFill="1" applyBorder="1" applyAlignment="1">
      <alignment vertical="center"/>
    </xf>
    <xf numFmtId="168" fontId="1" fillId="0" borderId="14" xfId="1" applyNumberFormat="1" applyFont="1" applyFill="1" applyBorder="1" applyAlignment="1">
      <alignment horizontal="right" vertical="center" wrapText="1"/>
    </xf>
    <xf numFmtId="2" fontId="1" fillId="0" borderId="14" xfId="2" applyNumberFormat="1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left" vertical="center"/>
    </xf>
    <xf numFmtId="165" fontId="1" fillId="0" borderId="14" xfId="0" applyNumberFormat="1" applyFont="1" applyFill="1" applyBorder="1" applyAlignment="1">
      <alignment vertical="center"/>
    </xf>
    <xf numFmtId="164" fontId="1" fillId="0" borderId="14" xfId="1" applyNumberFormat="1" applyFont="1" applyFill="1" applyBorder="1" applyAlignment="1">
      <alignment horizontal="right" vertical="center" wrapText="1"/>
    </xf>
    <xf numFmtId="39" fontId="1" fillId="0" borderId="14" xfId="1" applyNumberFormat="1" applyFont="1" applyFill="1" applyBorder="1" applyAlignment="1">
      <alignment horizontal="right" vertical="center" wrapText="1"/>
    </xf>
    <xf numFmtId="39" fontId="1" fillId="0" borderId="14" xfId="0" applyNumberFormat="1" applyFont="1" applyFill="1" applyBorder="1" applyAlignment="1">
      <alignment vertical="center"/>
    </xf>
    <xf numFmtId="39" fontId="1" fillId="0" borderId="14" xfId="2" applyNumberFormat="1" applyFont="1" applyFill="1" applyBorder="1" applyAlignment="1">
      <alignment horizontal="right" vertical="center" wrapText="1"/>
    </xf>
    <xf numFmtId="168" fontId="1" fillId="0" borderId="14" xfId="2" applyNumberFormat="1" applyFont="1" applyFill="1" applyBorder="1" applyAlignment="1">
      <alignment horizontal="right" vertical="center" wrapText="1"/>
    </xf>
    <xf numFmtId="4" fontId="1" fillId="0" borderId="14" xfId="0" applyNumberFormat="1" applyFont="1" applyFill="1" applyBorder="1" applyAlignment="1">
      <alignment horizontal="right" vertical="center"/>
    </xf>
    <xf numFmtId="4" fontId="1" fillId="0" borderId="14" xfId="1" applyNumberFormat="1" applyFont="1" applyFill="1" applyBorder="1" applyAlignment="1">
      <alignment horizontal="right" vertical="center" wrapText="1"/>
    </xf>
    <xf numFmtId="4" fontId="1" fillId="0" borderId="14" xfId="2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/>
    </xf>
    <xf numFmtId="4" fontId="1" fillId="0" borderId="5" xfId="0" applyNumberFormat="1" applyFont="1" applyFill="1" applyBorder="1" applyAlignment="1">
      <alignment horizontal="right" vertical="center"/>
    </xf>
    <xf numFmtId="4" fontId="1" fillId="0" borderId="5" xfId="2" applyNumberFormat="1" applyFont="1" applyFill="1" applyBorder="1" applyAlignment="1">
      <alignment horizontal="right" vertical="center" wrapText="1"/>
    </xf>
    <xf numFmtId="4" fontId="1" fillId="0" borderId="14" xfId="0" applyNumberFormat="1" applyFont="1" applyFill="1" applyBorder="1" applyAlignment="1">
      <alignment vertical="center"/>
    </xf>
    <xf numFmtId="0" fontId="12" fillId="0" borderId="46" xfId="0" applyFont="1" applyBorder="1" applyAlignment="1">
      <alignment horizontal="center" vertical="center"/>
    </xf>
    <xf numFmtId="0" fontId="12" fillId="0" borderId="72" xfId="0" applyFont="1" applyFill="1" applyBorder="1" applyAlignment="1">
      <alignment horizontal="left" vertical="center"/>
    </xf>
    <xf numFmtId="4" fontId="1" fillId="0" borderId="47" xfId="0" applyNumberFormat="1" applyFont="1" applyBorder="1" applyAlignment="1">
      <alignment horizontal="right" vertical="center"/>
    </xf>
    <xf numFmtId="4" fontId="1" fillId="0" borderId="47" xfId="2" applyNumberFormat="1" applyFont="1" applyBorder="1" applyAlignment="1">
      <alignment horizontal="right" vertical="center" wrapText="1"/>
    </xf>
    <xf numFmtId="0" fontId="13" fillId="0" borderId="25" xfId="0" applyFont="1" applyBorder="1" applyAlignment="1">
      <alignment vertical="center"/>
    </xf>
    <xf numFmtId="0" fontId="13" fillId="0" borderId="62" xfId="0" applyFont="1" applyBorder="1" applyAlignment="1">
      <alignment vertical="center"/>
    </xf>
    <xf numFmtId="3" fontId="13" fillId="0" borderId="26" xfId="0" applyNumberFormat="1" applyFont="1" applyBorder="1" applyAlignment="1">
      <alignment horizontal="right"/>
    </xf>
    <xf numFmtId="4" fontId="13" fillId="0" borderId="26" xfId="0" applyNumberFormat="1" applyFont="1" applyBorder="1" applyAlignment="1">
      <alignment horizontal="right"/>
    </xf>
    <xf numFmtId="0" fontId="13" fillId="0" borderId="75" xfId="0" applyFont="1" applyBorder="1" applyAlignment="1">
      <alignment vertical="center"/>
    </xf>
    <xf numFmtId="0" fontId="1" fillId="0" borderId="76" xfId="0" applyFont="1" applyBorder="1" applyAlignment="1">
      <alignment horizontal="center" vertical="center"/>
    </xf>
    <xf numFmtId="3" fontId="1" fillId="0" borderId="76" xfId="0" applyNumberFormat="1" applyFont="1" applyBorder="1" applyAlignment="1">
      <alignment horizontal="right"/>
    </xf>
    <xf numFmtId="2" fontId="1" fillId="0" borderId="76" xfId="0" applyNumberFormat="1" applyFont="1" applyBorder="1" applyAlignment="1">
      <alignment horizontal="right"/>
    </xf>
    <xf numFmtId="0" fontId="13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41" fontId="0" fillId="0" borderId="5" xfId="2" applyFont="1" applyBorder="1" applyAlignment="1">
      <alignment horizontal="right"/>
    </xf>
    <xf numFmtId="41" fontId="0" fillId="0" borderId="5" xfId="2" applyFont="1" applyBorder="1" applyAlignment="1">
      <alignment horizontal="right" wrapText="1"/>
    </xf>
    <xf numFmtId="2" fontId="0" fillId="0" borderId="5" xfId="2" applyNumberFormat="1" applyFont="1" applyBorder="1" applyAlignment="1">
      <alignment horizontal="right" wrapText="1"/>
    </xf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41" fontId="0" fillId="0" borderId="14" xfId="2" applyFont="1" applyBorder="1" applyAlignment="1">
      <alignment horizontal="right"/>
    </xf>
    <xf numFmtId="41" fontId="0" fillId="0" borderId="14" xfId="2" applyFont="1" applyBorder="1" applyAlignment="1">
      <alignment horizontal="right" wrapText="1"/>
    </xf>
    <xf numFmtId="2" fontId="0" fillId="0" borderId="14" xfId="2" applyNumberFormat="1" applyFont="1" applyBorder="1" applyAlignment="1">
      <alignment horizontal="right" wrapText="1"/>
    </xf>
    <xf numFmtId="2" fontId="12" fillId="0" borderId="0" xfId="0" applyNumberFormat="1" applyFont="1"/>
    <xf numFmtId="0" fontId="6" fillId="0" borderId="0" xfId="0" applyFont="1" applyAlignment="1"/>
    <xf numFmtId="2" fontId="26" fillId="0" borderId="0" xfId="0" applyNumberFormat="1" applyFont="1"/>
    <xf numFmtId="0" fontId="11" fillId="0" borderId="0" xfId="0" applyFont="1" applyAlignment="1"/>
    <xf numFmtId="0" fontId="1" fillId="0" borderId="0" xfId="0" applyFont="1" applyAlignment="1"/>
    <xf numFmtId="0" fontId="12" fillId="0" borderId="2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2" fillId="0" borderId="54" xfId="0" applyFont="1" applyFill="1" applyBorder="1" applyAlignment="1">
      <alignment horizontal="center" vertical="center"/>
    </xf>
    <xf numFmtId="164" fontId="0" fillId="0" borderId="0" xfId="0" applyNumberFormat="1"/>
    <xf numFmtId="0" fontId="12" fillId="0" borderId="53" xfId="0" applyFont="1" applyFill="1" applyBorder="1" applyAlignment="1">
      <alignment horizontal="center" vertical="center"/>
    </xf>
    <xf numFmtId="37" fontId="1" fillId="0" borderId="14" xfId="1" applyNumberFormat="1" applyFont="1" applyFill="1" applyBorder="1" applyAlignment="1">
      <alignment horizontal="right" vertical="center" wrapText="1"/>
    </xf>
    <xf numFmtId="169" fontId="0" fillId="0" borderId="0" xfId="0" applyNumberFormat="1"/>
    <xf numFmtId="0" fontId="1" fillId="0" borderId="14" xfId="0" applyFont="1" applyFill="1" applyBorder="1" applyAlignment="1">
      <alignment horizontal="right" vertical="center"/>
    </xf>
    <xf numFmtId="164" fontId="0" fillId="0" borderId="0" xfId="0" applyNumberFormat="1" applyFill="1"/>
    <xf numFmtId="164" fontId="1" fillId="0" borderId="5" xfId="1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/>
    </xf>
    <xf numFmtId="164" fontId="0" fillId="0" borderId="0" xfId="0" applyNumberFormat="1" applyFill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164" fontId="1" fillId="0" borderId="47" xfId="1" applyNumberFormat="1" applyFont="1" applyFill="1" applyBorder="1" applyAlignment="1">
      <alignment horizontal="right" vertical="center" wrapText="1"/>
    </xf>
    <xf numFmtId="0" fontId="1" fillId="0" borderId="47" xfId="0" applyFont="1" applyBorder="1" applyAlignment="1">
      <alignment horizontal="right" vertical="center"/>
    </xf>
    <xf numFmtId="0" fontId="12" fillId="0" borderId="55" xfId="0" applyFont="1" applyBorder="1" applyAlignment="1">
      <alignment horizontal="center" vertical="center"/>
    </xf>
    <xf numFmtId="1" fontId="13" fillId="0" borderId="27" xfId="0" applyNumberFormat="1" applyFont="1" applyBorder="1" applyAlignment="1">
      <alignment vertical="center"/>
    </xf>
    <xf numFmtId="41" fontId="0" fillId="0" borderId="0" xfId="0" applyNumberFormat="1"/>
    <xf numFmtId="1" fontId="13" fillId="0" borderId="78" xfId="0" applyNumberFormat="1" applyFont="1" applyBorder="1" applyAlignment="1">
      <alignment vertical="center"/>
    </xf>
    <xf numFmtId="1" fontId="13" fillId="0" borderId="53" xfId="0" applyNumberFormat="1" applyFont="1" applyBorder="1" applyAlignment="1">
      <alignment vertical="center"/>
    </xf>
    <xf numFmtId="3" fontId="0" fillId="0" borderId="0" xfId="0" applyNumberFormat="1"/>
    <xf numFmtId="164" fontId="0" fillId="0" borderId="53" xfId="1" applyNumberFormat="1" applyFont="1" applyBorder="1" applyAlignment="1">
      <alignment horizontal="right" wrapText="1"/>
    </xf>
    <xf numFmtId="43" fontId="0" fillId="0" borderId="0" xfId="0" applyNumberFormat="1"/>
    <xf numFmtId="164" fontId="0" fillId="0" borderId="54" xfId="1" applyNumberFormat="1" applyFont="1" applyBorder="1" applyAlignment="1">
      <alignment horizontal="right" wrapText="1"/>
    </xf>
    <xf numFmtId="0" fontId="26" fillId="0" borderId="0" xfId="0" applyFont="1"/>
    <xf numFmtId="3" fontId="0" fillId="0" borderId="0" xfId="0" applyNumberFormat="1" applyFill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64" fontId="0" fillId="0" borderId="6" xfId="1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64" fontId="0" fillId="0" borderId="9" xfId="1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66" fontId="0" fillId="0" borderId="9" xfId="1" applyNumberFormat="1" applyFont="1" applyBorder="1" applyAlignment="1">
      <alignment horizontal="right" vertical="center"/>
    </xf>
    <xf numFmtId="0" fontId="0" fillId="4" borderId="12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164" fontId="0" fillId="0" borderId="79" xfId="1" applyNumberFormat="1" applyFont="1" applyBorder="1" applyAlignment="1">
      <alignment horizontal="right" vertical="center"/>
    </xf>
    <xf numFmtId="0" fontId="0" fillId="0" borderId="12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164" fontId="0" fillId="0" borderId="16" xfId="1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66" fontId="0" fillId="0" borderId="16" xfId="1" applyNumberFormat="1" applyFont="1" applyBorder="1" applyAlignment="1">
      <alignment horizontal="right" vertical="center"/>
    </xf>
    <xf numFmtId="170" fontId="0" fillId="0" borderId="19" xfId="0" applyNumberFormat="1" applyBorder="1" applyAlignment="1">
      <alignment horizontal="right" vertical="center"/>
    </xf>
    <xf numFmtId="170" fontId="0" fillId="0" borderId="19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164" fontId="0" fillId="0" borderId="65" xfId="1" applyNumberFormat="1" applyFont="1" applyFill="1" applyBorder="1" applyAlignment="1">
      <alignment horizontal="right" wrapText="1"/>
    </xf>
    <xf numFmtId="171" fontId="0" fillId="0" borderId="65" xfId="1" applyNumberFormat="1" applyFont="1" applyFill="1" applyBorder="1" applyAlignment="1">
      <alignment horizontal="right" wrapText="1"/>
    </xf>
    <xf numFmtId="164" fontId="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horizontal="right" wrapText="1"/>
    </xf>
    <xf numFmtId="0" fontId="0" fillId="0" borderId="0" xfId="0" applyAlignment="1"/>
    <xf numFmtId="0" fontId="0" fillId="0" borderId="0" xfId="0" applyFill="1" applyAlignment="1">
      <alignment vertical="center"/>
    </xf>
    <xf numFmtId="0" fontId="10" fillId="2" borderId="20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72" fontId="0" fillId="0" borderId="5" xfId="1" applyNumberFormat="1" applyFont="1" applyBorder="1" applyAlignment="1">
      <alignment horizontal="right" vertical="center"/>
    </xf>
    <xf numFmtId="166" fontId="0" fillId="0" borderId="5" xfId="1" applyNumberFormat="1" applyFont="1" applyBorder="1" applyAlignment="1">
      <alignment horizontal="right" vertical="center"/>
    </xf>
    <xf numFmtId="1" fontId="0" fillId="0" borderId="5" xfId="1" applyNumberFormat="1" applyFont="1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0" xfId="0" applyBorder="1" applyAlignment="1">
      <alignment vertical="center"/>
    </xf>
    <xf numFmtId="0" fontId="10" fillId="2" borderId="51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1" fillId="4" borderId="0" xfId="0" applyFont="1" applyFill="1"/>
    <xf numFmtId="164" fontId="0" fillId="0" borderId="21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0" fillId="5" borderId="4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164" fontId="0" fillId="0" borderId="44" xfId="1" applyNumberFormat="1" applyFont="1" applyBorder="1" applyAlignment="1">
      <alignment horizontal="right" vertical="center"/>
    </xf>
    <xf numFmtId="164" fontId="0" fillId="0" borderId="50" xfId="1" applyNumberFormat="1" applyFont="1" applyBorder="1" applyAlignment="1">
      <alignment horizontal="right"/>
    </xf>
    <xf numFmtId="166" fontId="0" fillId="0" borderId="0" xfId="0" applyNumberFormat="1"/>
    <xf numFmtId="0" fontId="10" fillId="2" borderId="21" xfId="0" applyFont="1" applyFill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6" fontId="0" fillId="0" borderId="53" xfId="1" applyNumberFormat="1" applyFont="1" applyBorder="1" applyAlignment="1">
      <alignment horizontal="center"/>
    </xf>
    <xf numFmtId="164" fontId="0" fillId="0" borderId="53" xfId="1" applyNumberFormat="1" applyFont="1" applyFill="1" applyBorder="1" applyAlignment="1">
      <alignment horizontal="center"/>
    </xf>
    <xf numFmtId="164" fontId="0" fillId="0" borderId="60" xfId="1" applyNumberFormat="1" applyFont="1" applyBorder="1" applyAlignment="1">
      <alignment horizontal="right"/>
    </xf>
    <xf numFmtId="164" fontId="0" fillId="0" borderId="80" xfId="1" applyNumberFormat="1" applyFont="1" applyBorder="1" applyAlignment="1">
      <alignment horizontal="right"/>
    </xf>
    <xf numFmtId="172" fontId="0" fillId="0" borderId="19" xfId="0" applyNumberFormat="1" applyBorder="1" applyAlignment="1">
      <alignment horizontal="right" vertical="center"/>
    </xf>
    <xf numFmtId="172" fontId="0" fillId="0" borderId="19" xfId="1" applyNumberFormat="1" applyFont="1" applyBorder="1" applyAlignment="1">
      <alignment horizontal="right" vertical="center"/>
    </xf>
    <xf numFmtId="166" fontId="0" fillId="0" borderId="19" xfId="1" applyNumberFormat="1" applyFont="1" applyBorder="1" applyAlignment="1">
      <alignment horizontal="right" vertical="center"/>
    </xf>
    <xf numFmtId="164" fontId="0" fillId="0" borderId="60" xfId="1" applyNumberFormat="1" applyFont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8" fontId="0" fillId="0" borderId="0" xfId="0" applyNumberFormat="1"/>
    <xf numFmtId="164" fontId="0" fillId="0" borderId="19" xfId="0" applyNumberFormat="1" applyBorder="1" applyAlignment="1">
      <alignment horizontal="right" vertical="center"/>
    </xf>
    <xf numFmtId="164" fontId="0" fillId="0" borderId="19" xfId="1" applyNumberFormat="1" applyFont="1" applyBorder="1" applyAlignment="1">
      <alignment horizontal="right" vertical="center"/>
    </xf>
    <xf numFmtId="166" fontId="0" fillId="0" borderId="31" xfId="1" applyNumberFormat="1" applyFont="1" applyBorder="1" applyAlignment="1">
      <alignment horizontal="right" vertical="center"/>
    </xf>
    <xf numFmtId="164" fontId="0" fillId="0" borderId="21" xfId="1" applyNumberFormat="1" applyFont="1" applyBorder="1" applyAlignment="1">
      <alignment horizontal="right" wrapText="1"/>
    </xf>
    <xf numFmtId="164" fontId="0" fillId="0" borderId="60" xfId="1" applyNumberFormat="1" applyFont="1" applyBorder="1" applyAlignment="1">
      <alignment horizontal="right" wrapText="1"/>
    </xf>
    <xf numFmtId="164" fontId="0" fillId="0" borderId="80" xfId="1" applyNumberFormat="1" applyFont="1" applyBorder="1" applyAlignment="1">
      <alignment horizontal="right" wrapText="1"/>
    </xf>
    <xf numFmtId="0" fontId="0" fillId="0" borderId="19" xfId="0" applyNumberFormat="1" applyBorder="1" applyAlignment="1">
      <alignment horizontal="right" vertical="center"/>
    </xf>
    <xf numFmtId="164" fontId="1" fillId="0" borderId="0" xfId="0" applyNumberFormat="1" applyFont="1" applyAlignment="1"/>
    <xf numFmtId="164" fontId="0" fillId="0" borderId="0" xfId="1" applyNumberFormat="1" applyFont="1" applyFill="1" applyBorder="1" applyAlignment="1">
      <alignment horizontal="right" wrapText="1"/>
    </xf>
    <xf numFmtId="0" fontId="0" fillId="0" borderId="15" xfId="0" applyFill="1" applyBorder="1" applyAlignment="1">
      <alignment horizontal="left" vertical="center" wrapText="1"/>
    </xf>
    <xf numFmtId="172" fontId="0" fillId="0" borderId="2" xfId="0" applyNumberFormat="1" applyBorder="1" applyAlignment="1">
      <alignment horizontal="right" vertical="center"/>
    </xf>
    <xf numFmtId="172" fontId="0" fillId="0" borderId="2" xfId="1" applyNumberFormat="1" applyFont="1" applyBorder="1" applyAlignment="1">
      <alignment horizontal="right" vertical="center"/>
    </xf>
    <xf numFmtId="166" fontId="0" fillId="0" borderId="2" xfId="1" applyNumberFormat="1" applyFont="1" applyBorder="1" applyAlignment="1">
      <alignment horizontal="right" vertical="center"/>
    </xf>
    <xf numFmtId="171" fontId="0" fillId="0" borderId="0" xfId="0" applyNumberFormat="1"/>
    <xf numFmtId="41" fontId="0" fillId="0" borderId="0" xfId="2" applyFont="1" applyFill="1" applyBorder="1" applyAlignment="1">
      <alignment horizontal="right" wrapText="1"/>
    </xf>
    <xf numFmtId="0" fontId="0" fillId="0" borderId="39" xfId="0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166" fontId="1" fillId="0" borderId="0" xfId="0" applyNumberFormat="1" applyFont="1"/>
    <xf numFmtId="164" fontId="0" fillId="0" borderId="51" xfId="1" applyNumberFormat="1" applyFont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164" fontId="0" fillId="0" borderId="49" xfId="1" applyNumberFormat="1" applyFont="1" applyBorder="1" applyAlignment="1">
      <alignment horizontal="right" vertical="center"/>
    </xf>
    <xf numFmtId="164" fontId="0" fillId="0" borderId="0" xfId="1" applyNumberFormat="1" applyFont="1" applyBorder="1" applyAlignment="1">
      <alignment horizontal="right" vertical="center"/>
    </xf>
    <xf numFmtId="164" fontId="0" fillId="0" borderId="60" xfId="1" applyNumberFormat="1" applyFont="1" applyBorder="1" applyAlignment="1">
      <alignment horizontal="right" vertical="center"/>
    </xf>
    <xf numFmtId="164" fontId="0" fillId="0" borderId="18" xfId="1" applyNumberFormat="1" applyFont="1" applyBorder="1" applyAlignment="1">
      <alignment horizontal="right" vertical="center"/>
    </xf>
    <xf numFmtId="164" fontId="0" fillId="0" borderId="51" xfId="1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0" xfId="0" applyNumberFormat="1"/>
    <xf numFmtId="164" fontId="0" fillId="0" borderId="49" xfId="1" applyNumberFormat="1" applyFont="1" applyBorder="1" applyAlignment="1">
      <alignment horizontal="center" vertical="center"/>
    </xf>
    <xf numFmtId="164" fontId="0" fillId="0" borderId="60" xfId="1" applyNumberFormat="1" applyFont="1" applyBorder="1" applyAlignment="1">
      <alignment horizontal="center" vertical="center"/>
    </xf>
    <xf numFmtId="164" fontId="0" fillId="0" borderId="51" xfId="1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37" fontId="0" fillId="0" borderId="5" xfId="1" applyNumberFormat="1" applyFont="1" applyBorder="1" applyAlignment="1">
      <alignment horizontal="right" vertical="center"/>
    </xf>
    <xf numFmtId="171" fontId="0" fillId="0" borderId="5" xfId="1" applyNumberFormat="1" applyFon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166" fontId="0" fillId="0" borderId="5" xfId="1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right"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53" xfId="1" applyNumberFormat="1" applyFont="1" applyBorder="1" applyAlignment="1">
      <alignment horizontal="right"/>
    </xf>
    <xf numFmtId="164" fontId="0" fillId="0" borderId="51" xfId="1" applyNumberFormat="1" applyFont="1" applyBorder="1" applyAlignment="1"/>
    <xf numFmtId="164" fontId="0" fillId="0" borderId="0" xfId="1" applyNumberFormat="1" applyFont="1" applyBorder="1" applyAlignment="1"/>
    <xf numFmtId="0" fontId="0" fillId="5" borderId="0" xfId="0" applyFill="1" applyBorder="1" applyAlignment="1">
      <alignment horizontal="center" vertical="center"/>
    </xf>
    <xf numFmtId="166" fontId="0" fillId="0" borderId="53" xfId="1" applyNumberFormat="1" applyFont="1" applyBorder="1" applyAlignment="1">
      <alignment horizontal="right"/>
    </xf>
    <xf numFmtId="0" fontId="1" fillId="0" borderId="0" xfId="0" applyFont="1" applyFill="1" applyBorder="1"/>
    <xf numFmtId="173" fontId="0" fillId="0" borderId="81" xfId="0" applyNumberFormat="1" applyBorder="1" applyAlignment="1">
      <alignment horizontal="center" vertical="center"/>
    </xf>
    <xf numFmtId="173" fontId="0" fillId="0" borderId="2" xfId="1" applyNumberFormat="1" applyFont="1" applyBorder="1" applyAlignment="1">
      <alignment vertical="center"/>
    </xf>
    <xf numFmtId="172" fontId="0" fillId="0" borderId="2" xfId="0" applyNumberFormat="1" applyBorder="1" applyAlignment="1">
      <alignment horizontal="center" vertical="center"/>
    </xf>
    <xf numFmtId="173" fontId="0" fillId="0" borderId="2" xfId="1" applyNumberFormat="1" applyFont="1" applyBorder="1" applyAlignment="1">
      <alignment horizontal="center" vertical="center"/>
    </xf>
    <xf numFmtId="171" fontId="1" fillId="0" borderId="5" xfId="1" applyNumberFormat="1" applyFont="1" applyBorder="1" applyAlignment="1">
      <alignment horizontal="right" vertical="center"/>
    </xf>
    <xf numFmtId="171" fontId="0" fillId="0" borderId="2" xfId="0" applyNumberFormat="1" applyBorder="1" applyAlignment="1">
      <alignment horizontal="right" vertical="center"/>
    </xf>
    <xf numFmtId="171" fontId="0" fillId="0" borderId="2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vertical="center"/>
    </xf>
    <xf numFmtId="164" fontId="0" fillId="0" borderId="82" xfId="1" applyNumberFormat="1" applyFont="1" applyBorder="1" applyAlignment="1"/>
    <xf numFmtId="17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164" fontId="0" fillId="0" borderId="8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6" fontId="0" fillId="0" borderId="2" xfId="1" applyNumberFormat="1" applyFont="1" applyBorder="1" applyAlignment="1">
      <alignment vertical="center"/>
    </xf>
    <xf numFmtId="164" fontId="0" fillId="0" borderId="49" xfId="1" applyNumberFormat="1" applyFont="1" applyBorder="1" applyAlignment="1">
      <alignment horizontal="right"/>
    </xf>
    <xf numFmtId="43" fontId="0" fillId="0" borderId="5" xfId="1" applyNumberFormat="1" applyFont="1" applyBorder="1" applyAlignment="1">
      <alignment horizontal="right" vertical="center"/>
    </xf>
    <xf numFmtId="164" fontId="0" fillId="0" borderId="31" xfId="1" applyNumberFormat="1" applyFont="1" applyBorder="1" applyAlignment="1">
      <alignment horizontal="right" vertical="center"/>
    </xf>
    <xf numFmtId="41" fontId="0" fillId="0" borderId="31" xfId="0" applyNumberFormat="1" applyBorder="1" applyAlignment="1">
      <alignment horizontal="right" vertical="center"/>
    </xf>
    <xf numFmtId="43" fontId="0" fillId="0" borderId="31" xfId="1" applyNumberFormat="1" applyFont="1" applyBorder="1" applyAlignment="1">
      <alignment horizontal="right" vertical="center"/>
    </xf>
    <xf numFmtId="43" fontId="1" fillId="0" borderId="5" xfId="1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right" vertical="center"/>
    </xf>
    <xf numFmtId="166" fontId="1" fillId="0" borderId="2" xfId="1" applyNumberFormat="1" applyFont="1" applyBorder="1" applyAlignment="1">
      <alignment horizontal="right" vertical="center"/>
    </xf>
    <xf numFmtId="164" fontId="1" fillId="0" borderId="2" xfId="1" applyNumberFormat="1" applyFont="1" applyBorder="1" applyAlignment="1">
      <alignment horizontal="right" vertical="center"/>
    </xf>
    <xf numFmtId="43" fontId="0" fillId="0" borderId="81" xfId="1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right" vertical="center"/>
    </xf>
    <xf numFmtId="164" fontId="0" fillId="0" borderId="51" xfId="1" applyNumberFormat="1" applyFont="1" applyBorder="1" applyAlignment="1">
      <alignment horizontal="right"/>
    </xf>
    <xf numFmtId="39" fontId="0" fillId="0" borderId="2" xfId="1" applyNumberFormat="1" applyFont="1" applyBorder="1" applyAlignment="1">
      <alignment horizontal="right" vertical="center"/>
    </xf>
    <xf numFmtId="164" fontId="1" fillId="0" borderId="0" xfId="0" applyNumberFormat="1" applyFont="1"/>
    <xf numFmtId="166" fontId="0" fillId="0" borderId="0" xfId="1" applyNumberFormat="1" applyFont="1" applyBorder="1" applyAlignment="1">
      <alignment horizontal="right" wrapText="1"/>
    </xf>
    <xf numFmtId="0" fontId="0" fillId="0" borderId="0" xfId="0" applyBorder="1"/>
    <xf numFmtId="164" fontId="0" fillId="0" borderId="14" xfId="1" applyNumberFormat="1" applyFont="1" applyBorder="1" applyAlignment="1">
      <alignment horizontal="right" vertical="center"/>
    </xf>
    <xf numFmtId="0" fontId="0" fillId="3" borderId="12" xfId="0" applyFill="1" applyBorder="1" applyAlignment="1">
      <alignment horizontal="left" vertical="center" wrapText="1"/>
    </xf>
    <xf numFmtId="164" fontId="0" fillId="0" borderId="13" xfId="1" applyNumberFormat="1" applyFont="1" applyBorder="1" applyAlignment="1">
      <alignment horizontal="right" vertical="center"/>
    </xf>
    <xf numFmtId="169" fontId="0" fillId="0" borderId="2" xfId="1" applyNumberFormat="1" applyFont="1" applyBorder="1" applyAlignment="1">
      <alignment horizontal="right" vertical="center"/>
    </xf>
    <xf numFmtId="43" fontId="0" fillId="0" borderId="2" xfId="1" applyNumberFormat="1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right" vertical="center" wrapText="1"/>
    </xf>
    <xf numFmtId="164" fontId="0" fillId="0" borderId="56" xfId="1" applyNumberFormat="1" applyFont="1" applyBorder="1" applyAlignment="1">
      <alignment horizontal="right" vertical="center"/>
    </xf>
    <xf numFmtId="164" fontId="0" fillId="0" borderId="56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 vertical="center" wrapText="1"/>
    </xf>
    <xf numFmtId="164" fontId="0" fillId="0" borderId="2" xfId="1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/>
    </xf>
    <xf numFmtId="166" fontId="0" fillId="0" borderId="2" xfId="1" applyNumberFormat="1" applyFont="1" applyBorder="1" applyAlignment="1">
      <alignment horizontal="right"/>
    </xf>
    <xf numFmtId="164" fontId="0" fillId="0" borderId="21" xfId="1" applyNumberFormat="1" applyFont="1" applyBorder="1" applyAlignment="1">
      <alignment horizontal="right" vertical="center" wrapText="1"/>
    </xf>
    <xf numFmtId="164" fontId="0" fillId="0" borderId="0" xfId="1" applyNumberFormat="1" applyFont="1" applyBorder="1" applyAlignment="1">
      <alignment horizontal="right" vertical="center" wrapText="1"/>
    </xf>
    <xf numFmtId="164" fontId="0" fillId="0" borderId="18" xfId="1" applyNumberFormat="1" applyFont="1" applyBorder="1" applyAlignment="1">
      <alignment horizontal="right"/>
    </xf>
    <xf numFmtId="164" fontId="1" fillId="0" borderId="5" xfId="1" applyNumberFormat="1" applyFont="1" applyBorder="1" applyAlignment="1">
      <alignment horizontal="right"/>
    </xf>
    <xf numFmtId="43" fontId="0" fillId="0" borderId="5" xfId="1" applyNumberFormat="1" applyFont="1" applyBorder="1" applyAlignment="1">
      <alignment horizontal="right"/>
    </xf>
    <xf numFmtId="1" fontId="1" fillId="0" borderId="5" xfId="1" applyNumberFormat="1" applyFont="1" applyBorder="1" applyAlignment="1">
      <alignment horizontal="right" vertical="center"/>
    </xf>
    <xf numFmtId="37" fontId="0" fillId="0" borderId="2" xfId="1" applyNumberFormat="1" applyFont="1" applyBorder="1" applyAlignment="1">
      <alignment horizontal="right" vertical="center"/>
    </xf>
    <xf numFmtId="166" fontId="0" fillId="0" borderId="0" xfId="1" applyNumberFormat="1" applyFont="1" applyBorder="1" applyAlignment="1"/>
    <xf numFmtId="49" fontId="1" fillId="0" borderId="5" xfId="1" applyNumberFormat="1" applyFont="1" applyBorder="1" applyAlignment="1">
      <alignment horizontal="right" vertical="center"/>
    </xf>
    <xf numFmtId="164" fontId="0" fillId="0" borderId="51" xfId="1" applyNumberFormat="1" applyFont="1" applyBorder="1" applyAlignment="1">
      <alignment vertical="center"/>
    </xf>
    <xf numFmtId="0" fontId="0" fillId="0" borderId="83" xfId="0" applyFill="1" applyBorder="1" applyAlignment="1">
      <alignment horizontal="left" vertical="center" wrapText="1"/>
    </xf>
    <xf numFmtId="164" fontId="1" fillId="0" borderId="76" xfId="1" applyNumberFormat="1" applyFont="1" applyBorder="1" applyAlignment="1">
      <alignment horizontal="right" vertical="center"/>
    </xf>
    <xf numFmtId="164" fontId="0" fillId="0" borderId="76" xfId="1" applyNumberFormat="1" applyFont="1" applyBorder="1" applyAlignment="1">
      <alignment horizontal="right" vertical="center"/>
    </xf>
    <xf numFmtId="166" fontId="0" fillId="0" borderId="76" xfId="1" applyNumberFormat="1" applyFont="1" applyBorder="1" applyAlignment="1">
      <alignment horizontal="right" vertical="center"/>
    </xf>
    <xf numFmtId="164" fontId="1" fillId="0" borderId="53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164" fontId="1" fillId="0" borderId="49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/>
    <xf numFmtId="166" fontId="1" fillId="0" borderId="5" xfId="1" applyNumberFormat="1" applyFont="1" applyBorder="1" applyAlignment="1">
      <alignment horizontal="right"/>
    </xf>
    <xf numFmtId="0" fontId="0" fillId="0" borderId="83" xfId="0" applyBorder="1" applyAlignment="1">
      <alignment horizontal="left" vertical="center" wrapText="1"/>
    </xf>
    <xf numFmtId="0" fontId="0" fillId="7" borderId="0" xfId="0" applyFill="1" applyBorder="1" applyAlignment="1">
      <alignment horizontal="center" vertical="center" wrapText="1"/>
    </xf>
    <xf numFmtId="164" fontId="1" fillId="0" borderId="78" xfId="1" applyNumberFormat="1" applyFont="1" applyBorder="1" applyAlignment="1">
      <alignment horizontal="center" vertical="center"/>
    </xf>
    <xf numFmtId="164" fontId="1" fillId="0" borderId="53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/>
    <xf numFmtId="164" fontId="0" fillId="0" borderId="18" xfId="1" applyNumberFormat="1" applyFont="1" applyBorder="1" applyAlignment="1"/>
    <xf numFmtId="3" fontId="0" fillId="0" borderId="0" xfId="0" applyNumberForma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3" fontId="0" fillId="0" borderId="6" xfId="1" applyNumberFormat="1" applyFon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3" fontId="0" fillId="0" borderId="13" xfId="1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11" fillId="0" borderId="0" xfId="0" applyNumberFormat="1" applyFont="1" applyAlignment="1">
      <alignment horizontal="center" vertical="center"/>
    </xf>
    <xf numFmtId="3" fontId="0" fillId="0" borderId="9" xfId="1" applyNumberFormat="1" applyFont="1" applyBorder="1" applyAlignment="1">
      <alignment horizontal="center" vertical="center"/>
    </xf>
    <xf numFmtId="3" fontId="1" fillId="0" borderId="5" xfId="1" applyNumberFormat="1" applyFont="1" applyBorder="1" applyAlignment="1">
      <alignment horizontal="center" vertical="center"/>
    </xf>
    <xf numFmtId="164" fontId="0" fillId="0" borderId="53" xfId="1" applyNumberFormat="1" applyFont="1" applyBorder="1" applyAlignment="1">
      <alignment vertical="center" wrapText="1"/>
    </xf>
    <xf numFmtId="0" fontId="0" fillId="8" borderId="0" xfId="0" applyFill="1"/>
    <xf numFmtId="164" fontId="0" fillId="0" borderId="49" xfId="1" applyNumberFormat="1" applyFont="1" applyBorder="1" applyAlignment="1">
      <alignment horizontal="right" vertical="center" wrapText="1"/>
    </xf>
    <xf numFmtId="164" fontId="0" fillId="0" borderId="53" xfId="1" applyNumberFormat="1" applyFont="1" applyBorder="1" applyAlignment="1">
      <alignment horizontal="center" vertical="center" wrapText="1"/>
    </xf>
    <xf numFmtId="164" fontId="0" fillId="0" borderId="56" xfId="1" applyNumberFormat="1" applyFont="1" applyBorder="1" applyAlignment="1">
      <alignment horizontal="right" wrapText="1"/>
    </xf>
    <xf numFmtId="3" fontId="0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9" xfId="1" applyNumberFormat="1" applyFont="1" applyBorder="1" applyAlignment="1">
      <alignment horizontal="center" vertical="center"/>
    </xf>
    <xf numFmtId="41" fontId="0" fillId="0" borderId="5" xfId="1" applyNumberFormat="1" applyFont="1" applyBorder="1" applyAlignment="1">
      <alignment horizontal="center" vertical="center"/>
    </xf>
    <xf numFmtId="164" fontId="0" fillId="0" borderId="53" xfId="1" applyNumberFormat="1" applyFont="1" applyBorder="1" applyAlignment="1">
      <alignment wrapText="1"/>
    </xf>
    <xf numFmtId="164" fontId="0" fillId="0" borderId="60" xfId="1" applyNumberFormat="1" applyFont="1" applyBorder="1" applyAlignment="1">
      <alignment horizontal="center" wrapText="1"/>
    </xf>
    <xf numFmtId="164" fontId="0" fillId="0" borderId="55" xfId="1" applyNumberFormat="1" applyFont="1" applyBorder="1" applyAlignment="1">
      <alignment horizontal="right" wrapText="1"/>
    </xf>
    <xf numFmtId="3" fontId="1" fillId="0" borderId="13" xfId="1" applyNumberFormat="1" applyFont="1" applyBorder="1" applyAlignment="1">
      <alignment horizontal="center" vertical="center"/>
    </xf>
    <xf numFmtId="41" fontId="0" fillId="0" borderId="13" xfId="1" applyNumberFormat="1" applyFont="1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53" xfId="1" applyNumberFormat="1" applyFont="1" applyBorder="1" applyAlignment="1">
      <alignment horizontal="center" vertical="center"/>
    </xf>
    <xf numFmtId="41" fontId="1" fillId="0" borderId="13" xfId="1" applyNumberFormat="1" applyFont="1" applyBorder="1" applyAlignment="1">
      <alignment horizontal="center" vertical="center"/>
    </xf>
    <xf numFmtId="164" fontId="0" fillId="0" borderId="56" xfId="1" applyNumberFormat="1" applyFont="1" applyBorder="1" applyAlignment="1">
      <alignment horizontal="center" vertical="center"/>
    </xf>
    <xf numFmtId="164" fontId="0" fillId="0" borderId="49" xfId="1" applyNumberFormat="1" applyFont="1" applyBorder="1" applyAlignment="1">
      <alignment horizontal="right" wrapText="1"/>
    </xf>
    <xf numFmtId="168" fontId="0" fillId="0" borderId="9" xfId="1" applyNumberFormat="1" applyFont="1" applyBorder="1" applyAlignment="1">
      <alignment horizontal="center" vertical="center"/>
    </xf>
    <xf numFmtId="3" fontId="1" fillId="0" borderId="13" xfId="1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164" fontId="0" fillId="0" borderId="53" xfId="1" applyNumberFormat="1" applyFont="1" applyBorder="1" applyAlignment="1">
      <alignment horizontal="center" wrapText="1"/>
    </xf>
    <xf numFmtId="164" fontId="0" fillId="0" borderId="56" xfId="1" applyNumberFormat="1" applyFont="1" applyBorder="1" applyAlignment="1">
      <alignment horizontal="center" vertical="center" wrapText="1"/>
    </xf>
    <xf numFmtId="164" fontId="1" fillId="0" borderId="13" xfId="1" applyNumberFormat="1" applyFont="1" applyBorder="1" applyAlignment="1">
      <alignment horizontal="center" vertical="center"/>
    </xf>
    <xf numFmtId="3" fontId="1" fillId="0" borderId="19" xfId="1" applyNumberFormat="1" applyFont="1" applyBorder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/>
    </xf>
    <xf numFmtId="164" fontId="0" fillId="0" borderId="50" xfId="1" applyNumberFormat="1" applyFont="1" applyBorder="1" applyAlignment="1">
      <alignment horizontal="right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164" fontId="0" fillId="0" borderId="50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6" fontId="0" fillId="0" borderId="53" xfId="1" applyNumberFormat="1" applyFont="1" applyBorder="1" applyAlignment="1">
      <alignment horizontal="center" vertical="center"/>
    </xf>
    <xf numFmtId="3" fontId="0" fillId="0" borderId="5" xfId="1" quotePrefix="1" applyNumberFormat="1" applyFont="1" applyBorder="1" applyAlignment="1">
      <alignment horizontal="center" vertical="center"/>
    </xf>
    <xf numFmtId="3" fontId="1" fillId="0" borderId="5" xfId="1" quotePrefix="1" applyNumberFormat="1" applyFont="1" applyBorder="1" applyAlignment="1">
      <alignment horizontal="center" vertical="center"/>
    </xf>
    <xf numFmtId="41" fontId="0" fillId="0" borderId="5" xfId="1" quotePrefix="1" applyNumberFormat="1" applyFont="1" applyBorder="1" applyAlignment="1">
      <alignment horizontal="center" vertical="center"/>
    </xf>
    <xf numFmtId="3" fontId="0" fillId="0" borderId="13" xfId="1" quotePrefix="1" applyNumberFormat="1" applyFont="1" applyBorder="1" applyAlignment="1">
      <alignment horizontal="center" vertical="center"/>
    </xf>
    <xf numFmtId="3" fontId="0" fillId="0" borderId="9" xfId="1" quotePrefix="1" applyNumberFormat="1" applyFont="1" applyBorder="1" applyAlignment="1">
      <alignment horizontal="center" vertical="center"/>
    </xf>
    <xf numFmtId="3" fontId="0" fillId="0" borderId="5" xfId="0" quotePrefix="1" applyNumberFormat="1" applyBorder="1" applyAlignment="1">
      <alignment horizontal="center" vertical="center"/>
    </xf>
    <xf numFmtId="164" fontId="0" fillId="0" borderId="5" xfId="1" quotePrefix="1" applyNumberFormat="1" applyFont="1" applyBorder="1" applyAlignment="1">
      <alignment horizontal="center" vertical="center"/>
    </xf>
    <xf numFmtId="164" fontId="0" fillId="0" borderId="79" xfId="1" quotePrefix="1" applyNumberFormat="1" applyFont="1" applyBorder="1" applyAlignment="1">
      <alignment horizontal="center" vertical="center"/>
    </xf>
    <xf numFmtId="3" fontId="0" fillId="0" borderId="9" xfId="0" quotePrefix="1" applyNumberFormat="1" applyBorder="1" applyAlignment="1">
      <alignment horizontal="center" vertical="center"/>
    </xf>
    <xf numFmtId="164" fontId="0" fillId="0" borderId="5" xfId="1" quotePrefix="1" applyNumberFormat="1" applyFont="1" applyBorder="1" applyAlignment="1">
      <alignment horizontal="right" vertical="center"/>
    </xf>
    <xf numFmtId="164" fontId="0" fillId="0" borderId="53" xfId="1" quotePrefix="1" applyNumberFormat="1" applyFont="1" applyBorder="1" applyAlignment="1">
      <alignment horizontal="right" vertical="center"/>
    </xf>
    <xf numFmtId="171" fontId="0" fillId="0" borderId="5" xfId="1" quotePrefix="1" applyNumberFormat="1" applyFont="1" applyBorder="1" applyAlignment="1">
      <alignment horizontal="right" vertical="center"/>
    </xf>
    <xf numFmtId="164" fontId="0" fillId="0" borderId="5" xfId="1" quotePrefix="1" applyNumberFormat="1" applyFont="1" applyBorder="1" applyAlignment="1">
      <alignment horizontal="right" vertical="center" indent="1"/>
    </xf>
    <xf numFmtId="43" fontId="0" fillId="0" borderId="5" xfId="1" quotePrefix="1" applyNumberFormat="1" applyFont="1" applyBorder="1" applyAlignment="1">
      <alignment horizontal="right" vertical="center" indent="1"/>
    </xf>
    <xf numFmtId="164" fontId="1" fillId="0" borderId="5" xfId="1" quotePrefix="1" applyNumberFormat="1" applyFont="1" applyBorder="1" applyAlignment="1">
      <alignment horizontal="right" vertical="center"/>
    </xf>
    <xf numFmtId="166" fontId="0" fillId="0" borderId="2" xfId="0" quotePrefix="1" applyNumberFormat="1" applyBorder="1" applyAlignment="1">
      <alignment horizontal="right" vertical="center"/>
    </xf>
    <xf numFmtId="37" fontId="0" fillId="0" borderId="47" xfId="1" quotePrefix="1" applyNumberFormat="1" applyFont="1" applyBorder="1" applyAlignment="1">
      <alignment horizontal="right" wrapText="1"/>
    </xf>
    <xf numFmtId="3" fontId="1" fillId="0" borderId="9" xfId="0" quotePrefix="1" applyNumberFormat="1" applyFont="1" applyBorder="1" applyAlignment="1">
      <alignment horizontal="right" wrapText="1"/>
    </xf>
    <xf numFmtId="3" fontId="0" fillId="0" borderId="47" xfId="0" quotePrefix="1" applyNumberFormat="1" applyBorder="1" applyAlignment="1">
      <alignment horizontal="right" wrapText="1"/>
    </xf>
    <xf numFmtId="0" fontId="12" fillId="0" borderId="31" xfId="0" quotePrefix="1" applyFont="1" applyBorder="1" applyAlignment="1">
      <alignment horizontal="center"/>
    </xf>
    <xf numFmtId="0" fontId="0" fillId="8" borderId="12" xfId="0" applyFill="1" applyBorder="1" applyAlignment="1">
      <alignment horizontal="left" vertical="center" wrapText="1"/>
    </xf>
    <xf numFmtId="166" fontId="0" fillId="0" borderId="21" xfId="1" applyNumberFormat="1" applyFont="1" applyBorder="1" applyAlignment="1">
      <alignment horizontal="right"/>
    </xf>
    <xf numFmtId="43" fontId="0" fillId="0" borderId="9" xfId="1" applyNumberFormat="1" applyFont="1" applyBorder="1" applyAlignment="1">
      <alignment horizontal="right" vertical="center"/>
    </xf>
    <xf numFmtId="43" fontId="0" fillId="0" borderId="16" xfId="1" applyNumberFormat="1" applyFont="1" applyBorder="1" applyAlignment="1">
      <alignment horizontal="right" vertical="center"/>
    </xf>
    <xf numFmtId="43" fontId="0" fillId="0" borderId="19" xfId="1" applyNumberFormat="1" applyFont="1" applyBorder="1" applyAlignment="1">
      <alignment horizontal="right" vertical="center"/>
    </xf>
    <xf numFmtId="43" fontId="0" fillId="0" borderId="2" xfId="1" applyNumberFormat="1" applyFont="1" applyBorder="1" applyAlignment="1">
      <alignment vertical="center"/>
    </xf>
    <xf numFmtId="4" fontId="48" fillId="0" borderId="0" xfId="0" applyNumberFormat="1" applyFont="1"/>
    <xf numFmtId="4" fontId="0" fillId="0" borderId="0" xfId="0" applyNumberFormat="1"/>
    <xf numFmtId="37" fontId="0" fillId="0" borderId="0" xfId="0" applyNumberFormat="1"/>
    <xf numFmtId="174" fontId="0" fillId="0" borderId="5" xfId="1" applyNumberFormat="1" applyFont="1" applyBorder="1" applyAlignment="1">
      <alignment horizontal="right" vertical="center"/>
    </xf>
    <xf numFmtId="164" fontId="48" fillId="0" borderId="5" xfId="1" applyNumberFormat="1" applyFont="1" applyBorder="1" applyAlignment="1">
      <alignment horizontal="right" vertical="center"/>
    </xf>
    <xf numFmtId="164" fontId="48" fillId="0" borderId="0" xfId="0" applyNumberFormat="1" applyFont="1" applyAlignment="1">
      <alignment vertical="center"/>
    </xf>
    <xf numFmtId="174" fontId="1" fillId="0" borderId="5" xfId="1" applyNumberFormat="1" applyFont="1" applyBorder="1" applyAlignment="1">
      <alignment horizontal="right" vertical="center"/>
    </xf>
    <xf numFmtId="174" fontId="0" fillId="0" borderId="2" xfId="1" applyNumberFormat="1" applyFont="1" applyBorder="1" applyAlignment="1">
      <alignment horizontal="right" vertical="center"/>
    </xf>
    <xf numFmtId="175" fontId="0" fillId="0" borderId="2" xfId="1" applyNumberFormat="1" applyFont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1" fontId="0" fillId="0" borderId="0" xfId="0" applyNumberFormat="1" applyFill="1"/>
    <xf numFmtId="169" fontId="0" fillId="0" borderId="0" xfId="0" applyNumberFormat="1" applyFill="1"/>
    <xf numFmtId="1" fontId="0" fillId="0" borderId="0" xfId="0" applyNumberFormat="1" applyFill="1"/>
    <xf numFmtId="0" fontId="1" fillId="0" borderId="0" xfId="0" applyFont="1" applyFill="1"/>
    <xf numFmtId="41" fontId="0" fillId="0" borderId="0" xfId="0" applyNumberFormat="1" applyFill="1" applyAlignment="1">
      <alignment horizontal="center" vertical="center"/>
    </xf>
    <xf numFmtId="43" fontId="0" fillId="0" borderId="0" xfId="0" applyNumberFormat="1" applyFill="1"/>
    <xf numFmtId="41" fontId="1" fillId="0" borderId="0" xfId="0" applyNumberFormat="1" applyFont="1" applyFill="1" applyAlignment="1">
      <alignment horizontal="center" vertical="center"/>
    </xf>
    <xf numFmtId="41" fontId="1" fillId="0" borderId="0" xfId="0" applyNumberFormat="1" applyFont="1" applyFill="1"/>
    <xf numFmtId="0" fontId="48" fillId="0" borderId="11" xfId="0" applyFont="1" applyBorder="1" applyAlignment="1">
      <alignment horizontal="center" wrapText="1"/>
    </xf>
    <xf numFmtId="0" fontId="48" fillId="0" borderId="5" xfId="0" applyFont="1" applyBorder="1" applyAlignment="1">
      <alignment horizontal="center" vertical="center" wrapText="1"/>
    </xf>
    <xf numFmtId="41" fontId="48" fillId="0" borderId="14" xfId="2" applyFont="1" applyBorder="1" applyAlignment="1">
      <alignment horizontal="right"/>
    </xf>
    <xf numFmtId="164" fontId="48" fillId="0" borderId="5" xfId="1" applyNumberFormat="1" applyFont="1" applyBorder="1" applyAlignment="1">
      <alignment horizontal="right" wrapText="1"/>
    </xf>
    <xf numFmtId="2" fontId="48" fillId="0" borderId="5" xfId="1" applyNumberFormat="1" applyFont="1" applyBorder="1" applyAlignment="1">
      <alignment horizontal="right" wrapText="1"/>
    </xf>
    <xf numFmtId="164" fontId="48" fillId="0" borderId="53" xfId="1" applyNumberFormat="1" applyFont="1" applyBorder="1" applyAlignment="1">
      <alignment horizontal="right" wrapText="1"/>
    </xf>
    <xf numFmtId="0" fontId="48" fillId="0" borderId="0" xfId="0" applyFont="1" applyFill="1"/>
    <xf numFmtId="0" fontId="48" fillId="0" borderId="0" xfId="0" applyFont="1" applyFill="1" applyAlignment="1">
      <alignment horizontal="center" vertical="center"/>
    </xf>
    <xf numFmtId="43" fontId="48" fillId="0" borderId="0" xfId="0" applyNumberFormat="1" applyFont="1" applyFill="1"/>
    <xf numFmtId="41" fontId="48" fillId="0" borderId="0" xfId="0" applyNumberFormat="1" applyFont="1" applyFill="1" applyAlignment="1">
      <alignment horizontal="center" vertical="center"/>
    </xf>
    <xf numFmtId="0" fontId="48" fillId="0" borderId="0" xfId="0" applyFont="1"/>
    <xf numFmtId="3" fontId="48" fillId="0" borderId="0" xfId="0" applyNumberFormat="1" applyFont="1" applyFill="1" applyAlignment="1">
      <alignment horizontal="center" vertical="center"/>
    </xf>
    <xf numFmtId="41" fontId="48" fillId="0" borderId="0" xfId="0" applyNumberFormat="1" applyFont="1" applyFill="1"/>
    <xf numFmtId="3" fontId="48" fillId="0" borderId="0" xfId="0" applyNumberFormat="1" applyFont="1" applyFill="1"/>
    <xf numFmtId="43" fontId="48" fillId="0" borderId="0" xfId="0" applyNumberFormat="1" applyFont="1" applyFill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48" fillId="3" borderId="0" xfId="0" applyFont="1" applyFill="1"/>
    <xf numFmtId="43" fontId="48" fillId="0" borderId="0" xfId="0" applyNumberFormat="1" applyFont="1" applyBorder="1" applyAlignment="1">
      <alignment horizontal="center" vertical="center"/>
    </xf>
    <xf numFmtId="0" fontId="48" fillId="0" borderId="0" xfId="0" applyFont="1" applyBorder="1"/>
    <xf numFmtId="0" fontId="49" fillId="0" borderId="0" xfId="0" applyFont="1" applyBorder="1" applyAlignment="1">
      <alignment vertical="center"/>
    </xf>
    <xf numFmtId="41" fontId="48" fillId="0" borderId="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48" xfId="0" applyFont="1" applyBorder="1" applyAlignment="1">
      <alignment horizontal="center" wrapText="1"/>
    </xf>
    <xf numFmtId="0" fontId="48" fillId="0" borderId="13" xfId="0" applyFont="1" applyBorder="1" applyAlignment="1">
      <alignment horizontal="center" vertical="center" wrapText="1"/>
    </xf>
    <xf numFmtId="41" fontId="48" fillId="0" borderId="13" xfId="2" applyFont="1" applyBorder="1" applyAlignment="1">
      <alignment horizontal="right"/>
    </xf>
    <xf numFmtId="164" fontId="48" fillId="0" borderId="13" xfId="1" applyNumberFormat="1" applyFont="1" applyBorder="1" applyAlignment="1">
      <alignment horizontal="right" wrapText="1"/>
    </xf>
    <xf numFmtId="2" fontId="48" fillId="0" borderId="13" xfId="1" applyNumberFormat="1" applyFont="1" applyBorder="1" applyAlignment="1">
      <alignment horizontal="right" wrapText="1"/>
    </xf>
    <xf numFmtId="164" fontId="48" fillId="0" borderId="56" xfId="1" applyNumberFormat="1" applyFont="1" applyBorder="1" applyAlignment="1">
      <alignment horizontal="right" wrapText="1"/>
    </xf>
    <xf numFmtId="43" fontId="0" fillId="0" borderId="5" xfId="1" applyNumberFormat="1" applyFont="1" applyBorder="1" applyAlignment="1">
      <alignment horizontal="center" vertical="center"/>
    </xf>
    <xf numFmtId="0" fontId="0" fillId="9" borderId="5" xfId="0" applyFill="1" applyBorder="1" applyAlignment="1">
      <alignment horizontal="left" vertical="center" wrapText="1"/>
    </xf>
    <xf numFmtId="0" fontId="0" fillId="9" borderId="12" xfId="0" applyFill="1" applyBorder="1" applyAlignment="1">
      <alignment horizontal="left" vertical="center" wrapText="1"/>
    </xf>
    <xf numFmtId="0" fontId="1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4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48" fillId="0" borderId="73" xfId="0" applyFont="1" applyBorder="1" applyAlignment="1">
      <alignment vertical="center"/>
    </xf>
    <xf numFmtId="0" fontId="48" fillId="0" borderId="74" xfId="0" applyFont="1" applyBorder="1" applyAlignment="1">
      <alignment horizontal="center" vertical="center"/>
    </xf>
    <xf numFmtId="3" fontId="48" fillId="0" borderId="29" xfId="0" applyNumberFormat="1" applyFont="1" applyBorder="1" applyAlignment="1">
      <alignment horizontal="right"/>
    </xf>
    <xf numFmtId="4" fontId="48" fillId="0" borderId="29" xfId="0" applyNumberFormat="1" applyFont="1" applyBorder="1" applyAlignment="1">
      <alignment horizontal="right"/>
    </xf>
    <xf numFmtId="1" fontId="48" fillId="0" borderId="77" xfId="0" applyNumberFormat="1" applyFont="1" applyBorder="1" applyAlignment="1">
      <alignment vertical="center"/>
    </xf>
    <xf numFmtId="164" fontId="48" fillId="0" borderId="0" xfId="0" applyNumberFormat="1" applyFont="1" applyFill="1" applyAlignment="1">
      <alignment horizontal="center" vertical="center"/>
    </xf>
    <xf numFmtId="164" fontId="48" fillId="0" borderId="0" xfId="0" applyNumberFormat="1" applyFont="1" applyFill="1"/>
    <xf numFmtId="0" fontId="15" fillId="0" borderId="0" xfId="0" applyFont="1" applyAlignment="1">
      <alignment horizontal="center" vertical="center"/>
    </xf>
    <xf numFmtId="166" fontId="0" fillId="0" borderId="0" xfId="1" applyNumberFormat="1" applyFont="1" applyBorder="1" applyAlignment="1">
      <alignment horizontal="center"/>
    </xf>
    <xf numFmtId="0" fontId="0" fillId="3" borderId="4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3" fontId="0" fillId="0" borderId="41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3" fontId="0" fillId="0" borderId="6" xfId="0" applyNumberForma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3" fontId="0" fillId="0" borderId="74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0" fillId="0" borderId="40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3" fontId="0" fillId="0" borderId="0" xfId="0" applyNumberFormat="1" applyAlignment="1">
      <alignment vertical="center"/>
    </xf>
    <xf numFmtId="0" fontId="15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61" xfId="0" applyFont="1" applyFill="1" applyBorder="1" applyAlignment="1">
      <alignment horizontal="center" vertical="center"/>
    </xf>
    <xf numFmtId="0" fontId="33" fillId="0" borderId="63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61" xfId="0" applyFont="1" applyBorder="1" applyAlignment="1">
      <alignment horizontal="center"/>
    </xf>
    <xf numFmtId="0" fontId="24" fillId="0" borderId="62" xfId="0" applyFont="1" applyBorder="1" applyAlignment="1">
      <alignment horizontal="center"/>
    </xf>
    <xf numFmtId="0" fontId="24" fillId="0" borderId="6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5" fillId="0" borderId="0" xfId="19" applyFont="1" applyAlignment="1">
      <alignment horizontal="center"/>
    </xf>
    <xf numFmtId="0" fontId="19" fillId="0" borderId="17" xfId="19" applyFont="1" applyBorder="1" applyAlignment="1">
      <alignment horizontal="center" vertical="center"/>
    </xf>
    <xf numFmtId="0" fontId="19" fillId="0" borderId="18" xfId="19" applyFont="1" applyBorder="1" applyAlignment="1">
      <alignment horizontal="center" vertical="center"/>
    </xf>
    <xf numFmtId="0" fontId="6" fillId="0" borderId="0" xfId="19" applyFont="1" applyAlignment="1">
      <alignment horizontal="center"/>
    </xf>
    <xf numFmtId="0" fontId="7" fillId="0" borderId="0" xfId="19" applyFont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19" applyFont="1" applyAlignment="1">
      <alignment horizontal="center"/>
    </xf>
    <xf numFmtId="0" fontId="7" fillId="0" borderId="17" xfId="19" applyBorder="1" applyAlignment="1">
      <alignment horizontal="center"/>
    </xf>
    <xf numFmtId="0" fontId="7" fillId="0" borderId="18" xfId="19" applyBorder="1" applyAlignment="1">
      <alignment horizontal="center"/>
    </xf>
    <xf numFmtId="0" fontId="1" fillId="0" borderId="0" xfId="19" applyFont="1" applyAlignment="1">
      <alignment horizontal="center"/>
    </xf>
    <xf numFmtId="0" fontId="7" fillId="0" borderId="0" xfId="19" applyAlignment="1">
      <alignment horizontal="center"/>
    </xf>
    <xf numFmtId="0" fontId="0" fillId="0" borderId="0" xfId="0" applyAlignment="1">
      <alignment horizontal="left" vertical="center"/>
    </xf>
  </cellXfs>
  <cellStyles count="27">
    <cellStyle name="Comma" xfId="1" builtinId="3"/>
    <cellStyle name="Comma [0]" xfId="2" builtinId="6"/>
    <cellStyle name="Comma [0] 2" xfId="3"/>
    <cellStyle name="Comma 10" xfId="4"/>
    <cellStyle name="Comma 11" xfId="5"/>
    <cellStyle name="Comma 12" xfId="6"/>
    <cellStyle name="Comma 13" xfId="7"/>
    <cellStyle name="Comma 2" xfId="8"/>
    <cellStyle name="Comma 4" xfId="9"/>
    <cellStyle name="Comma 5" xfId="10"/>
    <cellStyle name="Comma 6" xfId="11"/>
    <cellStyle name="Comma 7" xfId="12"/>
    <cellStyle name="Comma 8" xfId="13"/>
    <cellStyle name="Comma 9" xfId="14"/>
    <cellStyle name="Normal" xfId="0" builtinId="0"/>
    <cellStyle name="Normal 10" xfId="15"/>
    <cellStyle name="Normal 11" xfId="16"/>
    <cellStyle name="Normal 12" xfId="17"/>
    <cellStyle name="Normal 13" xfId="18"/>
    <cellStyle name="Normal 2" xfId="19"/>
    <cellStyle name="Normal 4" xfId="20"/>
    <cellStyle name="Normal 5" xfId="21"/>
    <cellStyle name="Normal 6" xfId="22"/>
    <cellStyle name="Normal 7" xfId="23"/>
    <cellStyle name="Normal 8" xfId="24"/>
    <cellStyle name="Normal 9" xfId="25"/>
    <cellStyle name="Percent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8</xdr:row>
      <xdr:rowOff>66675</xdr:rowOff>
    </xdr:from>
    <xdr:to>
      <xdr:col>1</xdr:col>
      <xdr:colOff>209550</xdr:colOff>
      <xdr:row>8</xdr:row>
      <xdr:rowOff>190500</xdr:rowOff>
    </xdr:to>
    <xdr:sp macro="" textlink="">
      <xdr:nvSpPr>
        <xdr:cNvPr id="5" name="Quad Arrow Callout 4"/>
        <xdr:cNvSpPr/>
      </xdr:nvSpPr>
      <xdr:spPr>
        <a:xfrm>
          <a:off x="133350" y="2323465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d-ID" sz="1100"/>
            <a:t>+</a:t>
          </a:r>
        </a:p>
        <a:p>
          <a:pPr algn="ctr"/>
          <a:endParaRPr lang="id-ID" sz="1100"/>
        </a:p>
      </xdr:txBody>
    </xdr:sp>
    <xdr:clientData/>
  </xdr:twoCellAnchor>
  <xdr:twoCellAnchor>
    <xdr:from>
      <xdr:col>1</xdr:col>
      <xdr:colOff>95250</xdr:colOff>
      <xdr:row>10</xdr:row>
      <xdr:rowOff>38100</xdr:rowOff>
    </xdr:from>
    <xdr:to>
      <xdr:col>1</xdr:col>
      <xdr:colOff>200025</xdr:colOff>
      <xdr:row>10</xdr:row>
      <xdr:rowOff>161925</xdr:rowOff>
    </xdr:to>
    <xdr:sp macro="" textlink="">
      <xdr:nvSpPr>
        <xdr:cNvPr id="6" name="Quad Arrow Callout 5"/>
        <xdr:cNvSpPr/>
      </xdr:nvSpPr>
      <xdr:spPr>
        <a:xfrm>
          <a:off x="123825" y="2928620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104775</xdr:colOff>
      <xdr:row>12</xdr:row>
      <xdr:rowOff>28575</xdr:rowOff>
    </xdr:from>
    <xdr:to>
      <xdr:col>1</xdr:col>
      <xdr:colOff>209550</xdr:colOff>
      <xdr:row>12</xdr:row>
      <xdr:rowOff>152400</xdr:rowOff>
    </xdr:to>
    <xdr:sp macro="" textlink="">
      <xdr:nvSpPr>
        <xdr:cNvPr id="7" name="Quad Arrow Callout 6"/>
        <xdr:cNvSpPr/>
      </xdr:nvSpPr>
      <xdr:spPr>
        <a:xfrm>
          <a:off x="133350" y="3552825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104775</xdr:colOff>
      <xdr:row>14</xdr:row>
      <xdr:rowOff>28575</xdr:rowOff>
    </xdr:from>
    <xdr:to>
      <xdr:col>1</xdr:col>
      <xdr:colOff>209550</xdr:colOff>
      <xdr:row>14</xdr:row>
      <xdr:rowOff>152400</xdr:rowOff>
    </xdr:to>
    <xdr:sp macro="" textlink="">
      <xdr:nvSpPr>
        <xdr:cNvPr id="8" name="Quad Arrow Callout 7"/>
        <xdr:cNvSpPr/>
      </xdr:nvSpPr>
      <xdr:spPr>
        <a:xfrm>
          <a:off x="133350" y="4186555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104775</xdr:colOff>
      <xdr:row>16</xdr:row>
      <xdr:rowOff>47625</xdr:rowOff>
    </xdr:from>
    <xdr:to>
      <xdr:col>1</xdr:col>
      <xdr:colOff>209550</xdr:colOff>
      <xdr:row>16</xdr:row>
      <xdr:rowOff>171450</xdr:rowOff>
    </xdr:to>
    <xdr:sp macro="" textlink="">
      <xdr:nvSpPr>
        <xdr:cNvPr id="9" name="Quad Arrow Callout 8"/>
        <xdr:cNvSpPr/>
      </xdr:nvSpPr>
      <xdr:spPr>
        <a:xfrm>
          <a:off x="133350" y="4839335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114300</xdr:colOff>
      <xdr:row>18</xdr:row>
      <xdr:rowOff>38100</xdr:rowOff>
    </xdr:from>
    <xdr:to>
      <xdr:col>1</xdr:col>
      <xdr:colOff>219075</xdr:colOff>
      <xdr:row>18</xdr:row>
      <xdr:rowOff>161925</xdr:rowOff>
    </xdr:to>
    <xdr:sp macro="" textlink="">
      <xdr:nvSpPr>
        <xdr:cNvPr id="10" name="Quad Arrow Callout 9"/>
        <xdr:cNvSpPr/>
      </xdr:nvSpPr>
      <xdr:spPr>
        <a:xfrm>
          <a:off x="142875" y="5463540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104775</xdr:colOff>
      <xdr:row>20</xdr:row>
      <xdr:rowOff>47625</xdr:rowOff>
    </xdr:from>
    <xdr:to>
      <xdr:col>1</xdr:col>
      <xdr:colOff>209550</xdr:colOff>
      <xdr:row>20</xdr:row>
      <xdr:rowOff>171450</xdr:rowOff>
    </xdr:to>
    <xdr:sp macro="" textlink="">
      <xdr:nvSpPr>
        <xdr:cNvPr id="11" name="Quad Arrow Callout 10"/>
        <xdr:cNvSpPr/>
      </xdr:nvSpPr>
      <xdr:spPr>
        <a:xfrm>
          <a:off x="133350" y="6106795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85725</xdr:colOff>
      <xdr:row>22</xdr:row>
      <xdr:rowOff>38100</xdr:rowOff>
    </xdr:from>
    <xdr:to>
      <xdr:col>1</xdr:col>
      <xdr:colOff>190500</xdr:colOff>
      <xdr:row>22</xdr:row>
      <xdr:rowOff>161925</xdr:rowOff>
    </xdr:to>
    <xdr:sp macro="" textlink="">
      <xdr:nvSpPr>
        <xdr:cNvPr id="12" name="Quad Arrow Callout 11"/>
        <xdr:cNvSpPr/>
      </xdr:nvSpPr>
      <xdr:spPr>
        <a:xfrm>
          <a:off x="114300" y="6731000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95250</xdr:colOff>
      <xdr:row>24</xdr:row>
      <xdr:rowOff>38100</xdr:rowOff>
    </xdr:from>
    <xdr:to>
      <xdr:col>1</xdr:col>
      <xdr:colOff>200025</xdr:colOff>
      <xdr:row>24</xdr:row>
      <xdr:rowOff>161925</xdr:rowOff>
    </xdr:to>
    <xdr:sp macro="" textlink="">
      <xdr:nvSpPr>
        <xdr:cNvPr id="13" name="Quad Arrow Callout 12"/>
        <xdr:cNvSpPr/>
      </xdr:nvSpPr>
      <xdr:spPr>
        <a:xfrm>
          <a:off x="123825" y="7364730"/>
          <a:ext cx="104775" cy="123825"/>
        </a:xfrm>
        <a:prstGeom prst="quadArrowCallout">
          <a:avLst>
            <a:gd name="adj1" fmla="val 18515"/>
            <a:gd name="adj2" fmla="val 18515"/>
            <a:gd name="adj3" fmla="val 18515"/>
            <a:gd name="adj4" fmla="val 185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85725</xdr:colOff>
      <xdr:row>26</xdr:row>
      <xdr:rowOff>57150</xdr:rowOff>
    </xdr:from>
    <xdr:to>
      <xdr:col>1</xdr:col>
      <xdr:colOff>190500</xdr:colOff>
      <xdr:row>26</xdr:row>
      <xdr:rowOff>180975</xdr:rowOff>
    </xdr:to>
    <xdr:sp macro="" textlink="">
      <xdr:nvSpPr>
        <xdr:cNvPr id="14" name="Quad Arrow Callout 13"/>
        <xdr:cNvSpPr/>
      </xdr:nvSpPr>
      <xdr:spPr>
        <a:xfrm>
          <a:off x="114300" y="8017510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1</xdr:col>
      <xdr:colOff>85725</xdr:colOff>
      <xdr:row>28</xdr:row>
      <xdr:rowOff>38100</xdr:rowOff>
    </xdr:from>
    <xdr:to>
      <xdr:col>1</xdr:col>
      <xdr:colOff>190500</xdr:colOff>
      <xdr:row>28</xdr:row>
      <xdr:rowOff>161925</xdr:rowOff>
    </xdr:to>
    <xdr:sp macro="" textlink="">
      <xdr:nvSpPr>
        <xdr:cNvPr id="15" name="Quad Arrow Callout 14"/>
        <xdr:cNvSpPr/>
      </xdr:nvSpPr>
      <xdr:spPr>
        <a:xfrm>
          <a:off x="114300" y="8632190"/>
          <a:ext cx="104775" cy="123825"/>
        </a:xfrm>
        <a:prstGeom prst="quad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9"/>
  <sheetViews>
    <sheetView topLeftCell="A408" zoomScale="80" zoomScaleNormal="80" workbookViewId="0">
      <selection activeCell="H421" sqref="H421:K427"/>
    </sheetView>
  </sheetViews>
  <sheetFormatPr defaultColWidth="9" defaultRowHeight="12.75"/>
  <cols>
    <col min="1" max="1" width="3.28515625" customWidth="1"/>
    <col min="2" max="2" width="5.85546875" customWidth="1"/>
    <col min="3" max="3" width="17.7109375" customWidth="1"/>
    <col min="4" max="4" width="9.7109375" style="477" customWidth="1"/>
    <col min="5" max="5" width="10" style="477" customWidth="1"/>
    <col min="6" max="6" width="9.7109375" style="477" customWidth="1"/>
    <col min="7" max="7" width="10.85546875" style="477" customWidth="1"/>
    <col min="8" max="8" width="11" style="477" customWidth="1"/>
    <col min="9" max="9" width="11.85546875" style="477" customWidth="1"/>
    <col min="10" max="10" width="9.85546875" style="204" customWidth="1"/>
    <col min="15" max="15" width="5.7109375" customWidth="1"/>
    <col min="16" max="16" width="20.28515625" customWidth="1"/>
    <col min="17" max="17" width="8.42578125" customWidth="1"/>
    <col min="18" max="18" width="8.7109375" customWidth="1"/>
    <col min="19" max="19" width="8.42578125" customWidth="1"/>
    <col min="21" max="21" width="9.28515625" customWidth="1"/>
    <col min="22" max="22" width="11.85546875" customWidth="1"/>
    <col min="23" max="23" width="11.5703125" customWidth="1"/>
    <col min="24" max="24" width="7.42578125" customWidth="1"/>
    <col min="25" max="25" width="17.140625" customWidth="1"/>
  </cols>
  <sheetData>
    <row r="1" spans="2:16" ht="9" customHeight="1"/>
    <row r="2" spans="2:16" ht="24.95" customHeight="1">
      <c r="B2" s="632" t="s">
        <v>0</v>
      </c>
      <c r="C2" s="632"/>
      <c r="D2" s="632"/>
      <c r="E2" s="632"/>
      <c r="F2" s="632"/>
      <c r="G2" s="632"/>
      <c r="H2" s="632"/>
      <c r="I2" s="632"/>
      <c r="J2" s="632"/>
      <c r="K2" s="632"/>
    </row>
    <row r="3" spans="2:16" ht="24.95" customHeight="1">
      <c r="B3" s="632" t="s">
        <v>1</v>
      </c>
      <c r="C3" s="632"/>
      <c r="D3" s="632"/>
      <c r="E3" s="632"/>
      <c r="F3" s="632"/>
      <c r="G3" s="632"/>
      <c r="H3" s="632"/>
      <c r="I3" s="632"/>
      <c r="J3" s="632"/>
      <c r="K3" s="632"/>
    </row>
    <row r="4" spans="2:16" ht="24.95" customHeight="1">
      <c r="B4" s="632" t="s">
        <v>313</v>
      </c>
      <c r="C4" s="632"/>
      <c r="D4" s="632"/>
      <c r="E4" s="632"/>
      <c r="F4" s="632"/>
      <c r="G4" s="632"/>
      <c r="H4" s="632"/>
      <c r="I4" s="632"/>
      <c r="J4" s="632"/>
      <c r="K4" s="632"/>
    </row>
    <row r="5" spans="2:16" ht="24.95" customHeight="1">
      <c r="B5" s="82"/>
      <c r="C5" s="82"/>
      <c r="D5" s="478"/>
      <c r="E5" s="478"/>
      <c r="F5" s="478"/>
      <c r="G5" s="478"/>
      <c r="H5" s="478"/>
      <c r="I5" s="478"/>
      <c r="J5" s="296"/>
      <c r="K5" s="82"/>
    </row>
    <row r="6" spans="2:16" ht="24.95" customHeight="1">
      <c r="B6" s="2" t="s">
        <v>2</v>
      </c>
      <c r="C6" s="2"/>
      <c r="D6" s="477" t="s">
        <v>3</v>
      </c>
    </row>
    <row r="7" spans="2:16" ht="24.95" customHeight="1"/>
    <row r="8" spans="2:16" ht="24.95" customHeight="1">
      <c r="B8" s="657" t="s">
        <v>4</v>
      </c>
      <c r="C8" s="654" t="s">
        <v>5</v>
      </c>
      <c r="D8" s="633" t="s">
        <v>6</v>
      </c>
      <c r="E8" s="634"/>
      <c r="F8" s="635"/>
      <c r="G8" s="639" t="s">
        <v>7</v>
      </c>
      <c r="H8" s="639" t="s">
        <v>8</v>
      </c>
      <c r="I8" s="639" t="s">
        <v>9</v>
      </c>
      <c r="J8" s="642" t="s">
        <v>10</v>
      </c>
      <c r="K8" s="645" t="s">
        <v>11</v>
      </c>
    </row>
    <row r="9" spans="2:16" ht="24.95" customHeight="1">
      <c r="B9" s="658"/>
      <c r="C9" s="655"/>
      <c r="D9" s="651" t="s">
        <v>12</v>
      </c>
      <c r="E9" s="630" t="s">
        <v>13</v>
      </c>
      <c r="F9" s="628" t="s">
        <v>14</v>
      </c>
      <c r="G9" s="640"/>
      <c r="H9" s="640"/>
      <c r="I9" s="640"/>
      <c r="J9" s="643"/>
      <c r="K9" s="646"/>
    </row>
    <row r="10" spans="2:16" ht="24.75" customHeight="1">
      <c r="B10" s="659"/>
      <c r="C10" s="656"/>
      <c r="D10" s="652"/>
      <c r="E10" s="631"/>
      <c r="F10" s="629"/>
      <c r="G10" s="641"/>
      <c r="H10" s="641"/>
      <c r="I10" s="641"/>
      <c r="J10" s="644"/>
      <c r="K10" s="647"/>
    </row>
    <row r="11" spans="2:16" ht="24.95" customHeight="1" thickTop="1" thickBot="1">
      <c r="B11" s="83">
        <v>1</v>
      </c>
      <c r="C11" s="84">
        <v>2</v>
      </c>
      <c r="D11" s="479">
        <v>3</v>
      </c>
      <c r="E11" s="479">
        <v>4</v>
      </c>
      <c r="F11" s="479">
        <v>5</v>
      </c>
      <c r="G11" s="479">
        <v>6</v>
      </c>
      <c r="H11" s="479">
        <v>7</v>
      </c>
      <c r="I11" s="479">
        <v>8</v>
      </c>
      <c r="J11" s="84">
        <v>9</v>
      </c>
      <c r="K11" s="119">
        <v>10</v>
      </c>
      <c r="L11" s="202"/>
    </row>
    <row r="12" spans="2:16" ht="24.95" customHeight="1" thickTop="1">
      <c r="B12" s="134">
        <v>1</v>
      </c>
      <c r="C12" s="480" t="s">
        <v>15</v>
      </c>
      <c r="D12" s="481">
        <f>'PERKOMODITI 2024'!C10</f>
        <v>10</v>
      </c>
      <c r="E12" s="481">
        <f>'PERKOMODITI 2024'!D10</f>
        <v>79</v>
      </c>
      <c r="F12" s="481">
        <f>'PERKOMODITI 2024'!E10</f>
        <v>280</v>
      </c>
      <c r="G12" s="481">
        <f>'PERKOMODITI 2024'!F10</f>
        <v>369</v>
      </c>
      <c r="H12" s="481">
        <f>'PERKOMODITI 2024'!G10</f>
        <v>71.337000000000003</v>
      </c>
      <c r="I12" s="481">
        <f>'PERKOMODITI 2024'!H10</f>
        <v>903</v>
      </c>
      <c r="J12" s="481">
        <f>'PERKOMODITI 2024'!I10</f>
        <v>518</v>
      </c>
      <c r="K12" s="449"/>
    </row>
    <row r="13" spans="2:16" ht="24.95" customHeight="1">
      <c r="B13" s="26">
        <v>2</v>
      </c>
      <c r="C13" s="90" t="s">
        <v>16</v>
      </c>
      <c r="D13" s="482">
        <f>'PERKOMODITI 2024'!C57</f>
        <v>803</v>
      </c>
      <c r="E13" s="482">
        <f>'PERKOMODITI 2024'!D57</f>
        <v>3329</v>
      </c>
      <c r="F13" s="482">
        <f>'PERKOMODITI 2024'!E57</f>
        <v>1111</v>
      </c>
      <c r="G13" s="482">
        <f>'PERKOMODITI 2024'!F57</f>
        <v>5243</v>
      </c>
      <c r="H13" s="482">
        <f>'PERKOMODITI 2024'!G57</f>
        <v>11505.023999999999</v>
      </c>
      <c r="I13" s="482">
        <f>'PERKOMODITI 2024'!H57</f>
        <v>3456</v>
      </c>
      <c r="J13" s="482">
        <f>'PERKOMODITI 2024'!I57</f>
        <v>1322</v>
      </c>
      <c r="K13" s="499"/>
    </row>
    <row r="14" spans="2:16" ht="24.95" customHeight="1">
      <c r="B14" s="26">
        <v>3</v>
      </c>
      <c r="C14" s="90" t="s">
        <v>17</v>
      </c>
      <c r="D14" s="482">
        <f>'PERKOMODITI 2024'!C187</f>
        <v>8</v>
      </c>
      <c r="E14" s="482">
        <f>'PERKOMODITI 2024'!D187</f>
        <v>15</v>
      </c>
      <c r="F14" s="482">
        <f>'PERKOMODITI 2024'!E187</f>
        <v>76</v>
      </c>
      <c r="G14" s="482">
        <f t="shared" ref="G14:G20" si="0">F14+E14+D14</f>
        <v>99</v>
      </c>
      <c r="H14" s="482">
        <f>I14/1000*E14</f>
        <v>13.5</v>
      </c>
      <c r="I14" s="482">
        <f>'PERKOMODITI 2024'!H187</f>
        <v>900</v>
      </c>
      <c r="J14" s="482">
        <f>'PERKOMODITI 2024'!I187</f>
        <v>246</v>
      </c>
      <c r="K14" s="122"/>
      <c r="P14" s="500" t="s">
        <v>18</v>
      </c>
    </row>
    <row r="15" spans="2:16" ht="24.95" customHeight="1">
      <c r="B15" s="26">
        <v>4</v>
      </c>
      <c r="C15" s="90" t="s">
        <v>19</v>
      </c>
      <c r="D15" s="97" t="s">
        <v>20</v>
      </c>
      <c r="E15" s="328" t="s">
        <v>20</v>
      </c>
      <c r="F15" s="123" t="s">
        <v>20</v>
      </c>
      <c r="G15" s="328" t="s">
        <v>20</v>
      </c>
      <c r="H15" s="421" t="s">
        <v>20</v>
      </c>
      <c r="I15" s="123" t="s">
        <v>20</v>
      </c>
      <c r="J15" s="123" t="s">
        <v>20</v>
      </c>
      <c r="K15" s="122"/>
    </row>
    <row r="16" spans="2:16" ht="24.95" customHeight="1">
      <c r="B16" s="26">
        <v>5</v>
      </c>
      <c r="C16" s="90" t="s">
        <v>21</v>
      </c>
      <c r="D16" s="482">
        <f>'PERKOMODITI 2024'!C140</f>
        <v>4</v>
      </c>
      <c r="E16" s="482">
        <f>'PERKOMODITI 2024'!D140</f>
        <v>32</v>
      </c>
      <c r="F16" s="482">
        <f>'PERKOMODITI 2024'!E140</f>
        <v>50</v>
      </c>
      <c r="G16" s="482">
        <f t="shared" si="0"/>
        <v>86</v>
      </c>
      <c r="H16" s="482">
        <f t="shared" ref="H16" si="1">I16/1000*E16</f>
        <v>12.8</v>
      </c>
      <c r="I16" s="482">
        <f>'PERKOMODITI 2024'!H140</f>
        <v>400</v>
      </c>
      <c r="J16" s="482">
        <f>'PERKOMODITI 2024'!I140</f>
        <v>97</v>
      </c>
      <c r="K16" s="122"/>
    </row>
    <row r="17" spans="2:11" ht="24.95" customHeight="1">
      <c r="B17" s="26">
        <v>6</v>
      </c>
      <c r="C17" s="90" t="s">
        <v>22</v>
      </c>
      <c r="D17" s="482">
        <f>'PERKOMODITI 2024'!C413</f>
        <v>0</v>
      </c>
      <c r="E17" s="482">
        <f>'PERKOMODITI 2024'!D413</f>
        <v>0</v>
      </c>
      <c r="F17" s="482">
        <f>'PERKOMODITI 2024'!E413</f>
        <v>0</v>
      </c>
      <c r="G17" s="482">
        <f>'PERKOMODITI 2024'!F413</f>
        <v>0</v>
      </c>
      <c r="H17" s="482">
        <f>'PERKOMODITI 2024'!G413</f>
        <v>0</v>
      </c>
      <c r="I17" s="482">
        <f>'PERKOMODITI 2024'!H413</f>
        <v>0</v>
      </c>
      <c r="J17" s="482">
        <f>'PERKOMODITI 2024'!I413</f>
        <v>0</v>
      </c>
      <c r="K17" s="122"/>
    </row>
    <row r="18" spans="2:11" ht="24.95" customHeight="1">
      <c r="B18" s="26">
        <v>7</v>
      </c>
      <c r="C18" s="90" t="s">
        <v>23</v>
      </c>
      <c r="D18" s="482">
        <f>'PERKOMODITI 2024'!C95</f>
        <v>3</v>
      </c>
      <c r="E18" s="482">
        <f>'PERKOMODITI 2024'!D95</f>
        <v>16</v>
      </c>
      <c r="F18" s="482">
        <f>'PERKOMODITI 2024'!E95</f>
        <v>90</v>
      </c>
      <c r="G18" s="482">
        <f>'PERKOMODITI 2024'!F95</f>
        <v>109</v>
      </c>
      <c r="H18" s="482">
        <f>'PERKOMODITI 2024'!G95</f>
        <v>13.888</v>
      </c>
      <c r="I18" s="482">
        <f>'PERKOMODITI 2024'!H95</f>
        <v>868</v>
      </c>
      <c r="J18" s="482">
        <f>'PERKOMODITI 2024'!I95</f>
        <v>211</v>
      </c>
      <c r="K18" s="501"/>
    </row>
    <row r="19" spans="2:11" ht="24.95" customHeight="1">
      <c r="B19" s="26">
        <v>8</v>
      </c>
      <c r="C19" s="90" t="s">
        <v>24</v>
      </c>
      <c r="D19" s="482" t="str">
        <f>'PERKOMODITI 2024'!C450</f>
        <v>-</v>
      </c>
      <c r="E19" s="482" t="str">
        <f>'PERKOMODITI 2024'!D450</f>
        <v>-</v>
      </c>
      <c r="F19" s="482" t="str">
        <f>'PERKOMODITI 2024'!E450</f>
        <v>-</v>
      </c>
      <c r="G19" s="482" t="str">
        <f>'PERKOMODITI 2024'!F450</f>
        <v>-</v>
      </c>
      <c r="H19" s="482" t="str">
        <f>'PERKOMODITI 2024'!G450</f>
        <v>-</v>
      </c>
      <c r="I19" s="482" t="str">
        <f>'PERKOMODITI 2024'!H450</f>
        <v>-</v>
      </c>
      <c r="J19" s="482" t="str">
        <f>'PERKOMODITI 2024'!I450</f>
        <v>-</v>
      </c>
      <c r="K19" s="122"/>
    </row>
    <row r="20" spans="2:11" ht="24.95" customHeight="1">
      <c r="B20" s="26">
        <v>9</v>
      </c>
      <c r="C20" s="90" t="s">
        <v>25</v>
      </c>
      <c r="D20" s="482">
        <f>'PERKOMODITI 2024'!C370</f>
        <v>0</v>
      </c>
      <c r="E20" s="482">
        <f>'PERKOMODITI 2024'!D370</f>
        <v>0</v>
      </c>
      <c r="F20" s="482">
        <f>'PERKOMODITI 2024'!E370</f>
        <v>29</v>
      </c>
      <c r="G20" s="482">
        <f t="shared" si="0"/>
        <v>29</v>
      </c>
      <c r="H20" s="535">
        <f>'PERKOMODITI 2024'!U370</f>
        <v>0</v>
      </c>
      <c r="I20" s="498">
        <v>0</v>
      </c>
      <c r="J20" s="498">
        <f>'PERKOMODITI 2024'!I370</f>
        <v>79</v>
      </c>
      <c r="K20" s="126"/>
    </row>
    <row r="21" spans="2:11" ht="24.95" customHeight="1">
      <c r="B21" s="26">
        <v>10</v>
      </c>
      <c r="C21" s="90" t="s">
        <v>26</v>
      </c>
      <c r="D21" s="482">
        <f>'PERKOMODITI 2024'!C234</f>
        <v>3</v>
      </c>
      <c r="E21" s="482">
        <f>'PERKOMODITI 2024'!D234</f>
        <v>6</v>
      </c>
      <c r="F21" s="482">
        <f>'PERKOMODITI 2024'!E234</f>
        <v>14</v>
      </c>
      <c r="G21" s="482">
        <f>'PERKOMODITI 2024'!F234</f>
        <v>23</v>
      </c>
      <c r="H21" s="482">
        <f>'PERKOMODITI 2024'!G234</f>
        <v>2.2439999999999998</v>
      </c>
      <c r="I21" s="482">
        <f>'PERKOMODITI 2024'!H234</f>
        <v>374</v>
      </c>
      <c r="J21" s="482">
        <f>'PERKOMODITI 2024'!I234</f>
        <v>31</v>
      </c>
      <c r="K21" s="502"/>
    </row>
    <row r="22" spans="2:11" ht="24.95" customHeight="1">
      <c r="B22" s="26">
        <v>11</v>
      </c>
      <c r="C22" s="90" t="s">
        <v>27</v>
      </c>
      <c r="D22" s="482">
        <f>'PERKOMODITI 2024'!C325</f>
        <v>4</v>
      </c>
      <c r="E22" s="482">
        <f>'PERKOMODITI 2024'!D325</f>
        <v>8</v>
      </c>
      <c r="F22" s="482">
        <f>'PERKOMODITI 2024'!E325</f>
        <v>16</v>
      </c>
      <c r="G22" s="482">
        <f>'PERKOMODITI 2024'!F325</f>
        <v>28</v>
      </c>
      <c r="H22" s="482">
        <f>'PERKOMODITI 2024'!G325</f>
        <v>1.208</v>
      </c>
      <c r="I22" s="482">
        <f>'PERKOMODITI 2024'!H325</f>
        <v>151</v>
      </c>
      <c r="J22" s="482">
        <f>'PERKOMODITI 2024'!I325</f>
        <v>41</v>
      </c>
      <c r="K22" s="122"/>
    </row>
    <row r="23" spans="2:11" ht="24.95" customHeight="1">
      <c r="B23" s="26">
        <v>12</v>
      </c>
      <c r="C23" s="105" t="s">
        <v>28</v>
      </c>
      <c r="D23" s="482">
        <f>'PERKOMODITI 2024'!C488</f>
        <v>0</v>
      </c>
      <c r="E23" s="482">
        <f>'PERKOMODITI 2024'!D488</f>
        <v>0</v>
      </c>
      <c r="F23" s="482">
        <f>'PERKOMODITI 2024'!E488</f>
        <v>0</v>
      </c>
      <c r="G23" s="482">
        <f>'PERKOMODITI 2024'!F488</f>
        <v>0</v>
      </c>
      <c r="H23" s="482">
        <f>'PERKOMODITI 2024'!G488</f>
        <v>0</v>
      </c>
      <c r="I23" s="482">
        <f>'PERKOMODITI 2024'!H488</f>
        <v>0</v>
      </c>
      <c r="J23" s="482">
        <f>'PERKOMODITI 2024'!I488</f>
        <v>0</v>
      </c>
      <c r="K23" s="126"/>
    </row>
    <row r="24" spans="2:11" ht="24.95" customHeight="1">
      <c r="B24" s="26">
        <v>13</v>
      </c>
      <c r="C24" s="90" t="s">
        <v>29</v>
      </c>
      <c r="D24" s="482">
        <f>'PERKOMODITI 2024'!C533</f>
        <v>0</v>
      </c>
      <c r="E24" s="482">
        <f>'PERKOMODITI 2024'!D533</f>
        <v>0</v>
      </c>
      <c r="F24" s="482">
        <f>'PERKOMODITI 2024'!E533</f>
        <v>0</v>
      </c>
      <c r="G24" s="482">
        <f>'PERKOMODITI 2024'!F533</f>
        <v>0</v>
      </c>
      <c r="H24" s="482">
        <f>'PERKOMODITI 2024'!G533</f>
        <v>0</v>
      </c>
      <c r="I24" s="482">
        <f>'PERKOMODITI 2024'!H533</f>
        <v>0</v>
      </c>
      <c r="J24" s="482">
        <f>'PERKOMODITI 2024'!I533</f>
        <v>0</v>
      </c>
      <c r="K24" s="126"/>
    </row>
    <row r="25" spans="2:11" ht="24.95" customHeight="1">
      <c r="B25" s="26">
        <v>14</v>
      </c>
      <c r="C25" s="483" t="s">
        <v>30</v>
      </c>
      <c r="D25" s="482">
        <f>'PERKOMODITI 2024'!C570</f>
        <v>0</v>
      </c>
      <c r="E25" s="482">
        <f>'PERKOMODITI 2024'!D570</f>
        <v>0</v>
      </c>
      <c r="F25" s="482">
        <f>'PERKOMODITI 2024'!E570</f>
        <v>0</v>
      </c>
      <c r="G25" s="482">
        <f>'PERKOMODITI 2024'!F570</f>
        <v>0</v>
      </c>
      <c r="H25" s="482">
        <f>'PERKOMODITI 2024'!G570</f>
        <v>0</v>
      </c>
      <c r="I25" s="482">
        <f>'PERKOMODITI 2024'!H570</f>
        <v>0</v>
      </c>
      <c r="J25" s="482">
        <f>'PERKOMODITI 2024'!I570</f>
        <v>0</v>
      </c>
      <c r="K25" s="126"/>
    </row>
    <row r="26" spans="2:11" ht="24.95" customHeight="1">
      <c r="B26" s="26">
        <v>15</v>
      </c>
      <c r="C26" s="483" t="s">
        <v>31</v>
      </c>
      <c r="D26" s="482">
        <f>'PERKOMODITI 2024'!C609</f>
        <v>0</v>
      </c>
      <c r="E26" s="482">
        <f>'PERKOMODITI 2024'!D609</f>
        <v>0</v>
      </c>
      <c r="F26" s="482">
        <f>'PERKOMODITI 2024'!E609</f>
        <v>0</v>
      </c>
      <c r="G26" s="482">
        <f>'PERKOMODITI 2024'!F609</f>
        <v>0</v>
      </c>
      <c r="H26" s="482">
        <f>'PERKOMODITI 2024'!G609</f>
        <v>0</v>
      </c>
      <c r="I26" s="482">
        <f>'PERKOMODITI 2024'!H609</f>
        <v>0</v>
      </c>
      <c r="J26" s="482">
        <f>'PERKOMODITI 2024'!I609</f>
        <v>0</v>
      </c>
      <c r="K26" s="126"/>
    </row>
    <row r="27" spans="2:11" ht="24.95" customHeight="1">
      <c r="B27" s="484">
        <v>16</v>
      </c>
      <c r="C27" s="485" t="s">
        <v>32</v>
      </c>
      <c r="D27" s="486">
        <f>'PERKOMODITI 2024'!C644</f>
        <v>0</v>
      </c>
      <c r="E27" s="486">
        <f>'PERKOMODITI 2024'!D644</f>
        <v>0</v>
      </c>
      <c r="F27" s="486">
        <f>'PERKOMODITI 2024'!E644</f>
        <v>0</v>
      </c>
      <c r="G27" s="486">
        <f>'PERKOMODITI 2024'!F644</f>
        <v>0</v>
      </c>
      <c r="H27" s="486">
        <f>'PERKOMODITI 2024'!G644</f>
        <v>0</v>
      </c>
      <c r="I27" s="486">
        <f>'PERKOMODITI 2024'!H644</f>
        <v>0</v>
      </c>
      <c r="J27" s="486">
        <f>'PERKOMODITI 2024'!I644</f>
        <v>0</v>
      </c>
      <c r="K27" s="503"/>
    </row>
    <row r="28" spans="2:11" ht="15" customHeight="1">
      <c r="B28" s="661"/>
      <c r="C28" s="661"/>
      <c r="D28" s="487"/>
      <c r="E28" s="488"/>
      <c r="F28" s="487"/>
      <c r="G28" s="488"/>
      <c r="H28" s="488"/>
      <c r="I28" s="504"/>
      <c r="J28" s="505"/>
      <c r="K28" s="337"/>
    </row>
    <row r="29" spans="2:11" ht="22.5" customHeight="1">
      <c r="C29" s="6"/>
      <c r="H29" s="489" t="s">
        <v>12</v>
      </c>
      <c r="I29" s="662" t="s">
        <v>33</v>
      </c>
      <c r="J29" s="662"/>
      <c r="K29" s="662"/>
    </row>
    <row r="30" spans="2:11" ht="21.75" customHeight="1">
      <c r="C30" s="490"/>
      <c r="E30" s="491"/>
      <c r="F30" s="491"/>
      <c r="H30" s="492" t="s">
        <v>13</v>
      </c>
      <c r="I30" s="662" t="s">
        <v>34</v>
      </c>
      <c r="J30" s="662"/>
      <c r="K30" s="662"/>
    </row>
    <row r="31" spans="2:11" ht="22.5" customHeight="1">
      <c r="C31" s="493"/>
      <c r="H31" s="489" t="s">
        <v>14</v>
      </c>
      <c r="I31" s="662" t="s">
        <v>35</v>
      </c>
      <c r="J31" s="662"/>
      <c r="K31" s="662"/>
    </row>
    <row r="32" spans="2:11" ht="24.95" customHeight="1">
      <c r="C32" s="493"/>
      <c r="H32" s="489"/>
    </row>
    <row r="33" spans="2:11" ht="14.25">
      <c r="C33" s="44" t="s">
        <v>36</v>
      </c>
      <c r="D33" s="494"/>
      <c r="E33" s="494"/>
      <c r="F33" s="494"/>
      <c r="H33" s="638"/>
      <c r="I33" s="638"/>
      <c r="J33" s="638"/>
      <c r="K33" s="638"/>
    </row>
    <row r="34" spans="2:11" ht="14.25">
      <c r="C34" s="263"/>
      <c r="D34" s="494"/>
      <c r="E34" s="494"/>
      <c r="F34" s="494"/>
      <c r="H34" s="638"/>
      <c r="I34" s="638"/>
      <c r="J34" s="638"/>
      <c r="K34" s="638"/>
    </row>
    <row r="35" spans="2:11" ht="14.25">
      <c r="C35" s="638"/>
      <c r="D35" s="638"/>
      <c r="E35" s="638"/>
      <c r="F35" s="638"/>
      <c r="H35" s="638"/>
      <c r="I35" s="638"/>
      <c r="J35" s="638"/>
      <c r="K35" s="638"/>
    </row>
    <row r="36" spans="2:11" ht="14.25">
      <c r="C36" s="45"/>
      <c r="D36" s="494"/>
      <c r="E36" s="494"/>
      <c r="F36" s="494"/>
      <c r="H36" s="494"/>
      <c r="I36" s="494"/>
      <c r="J36" s="506"/>
      <c r="K36" s="45"/>
    </row>
    <row r="37" spans="2:11" ht="14.25">
      <c r="C37" s="45"/>
      <c r="D37" s="494"/>
      <c r="E37" s="494"/>
      <c r="F37" s="494"/>
      <c r="H37" s="494"/>
      <c r="I37" s="494"/>
      <c r="J37" s="506"/>
      <c r="K37" s="45"/>
    </row>
    <row r="38" spans="2:11" ht="18.75" customHeight="1">
      <c r="C38" s="495" t="s">
        <v>38</v>
      </c>
      <c r="D38" s="496"/>
      <c r="E38" s="496"/>
      <c r="F38" s="496"/>
      <c r="H38" s="653"/>
      <c r="I38" s="653"/>
      <c r="J38" s="653"/>
      <c r="K38" s="653"/>
    </row>
    <row r="39" spans="2:11">
      <c r="C39" s="266"/>
      <c r="H39" s="650"/>
      <c r="I39" s="637"/>
      <c r="J39" s="637"/>
      <c r="K39" s="637"/>
    </row>
    <row r="40" spans="2:11" ht="15.75" customHeight="1">
      <c r="C40" s="266"/>
      <c r="H40" s="47"/>
      <c r="I40" s="48"/>
      <c r="J40" s="48"/>
      <c r="K40" s="48"/>
    </row>
    <row r="41" spans="2:11" ht="24.95" customHeight="1">
      <c r="B41" s="632" t="s">
        <v>0</v>
      </c>
      <c r="C41" s="632"/>
      <c r="D41" s="632"/>
      <c r="E41" s="632"/>
      <c r="F41" s="632"/>
      <c r="G41" s="632"/>
      <c r="H41" s="632"/>
      <c r="I41" s="632"/>
      <c r="J41" s="632"/>
      <c r="K41" s="632"/>
    </row>
    <row r="42" spans="2:11" ht="24.95" customHeight="1">
      <c r="B42" s="632" t="s">
        <v>1</v>
      </c>
      <c r="C42" s="632"/>
      <c r="D42" s="632"/>
      <c r="E42" s="632"/>
      <c r="F42" s="632"/>
      <c r="G42" s="632"/>
      <c r="H42" s="632"/>
      <c r="I42" s="632"/>
      <c r="J42" s="632"/>
      <c r="K42" s="632"/>
    </row>
    <row r="43" spans="2:11" ht="24.95" customHeight="1">
      <c r="B43" s="632" t="s">
        <v>313</v>
      </c>
      <c r="C43" s="632"/>
      <c r="D43" s="632"/>
      <c r="E43" s="632"/>
      <c r="F43" s="632"/>
      <c r="G43" s="632"/>
      <c r="H43" s="632"/>
      <c r="I43" s="632"/>
      <c r="J43" s="632"/>
      <c r="K43" s="632"/>
    </row>
    <row r="44" spans="2:11" ht="24.95" customHeight="1">
      <c r="B44" s="296"/>
      <c r="C44" s="296"/>
      <c r="D44" s="478"/>
      <c r="E44" s="478"/>
      <c r="F44" s="478"/>
      <c r="G44" s="478"/>
      <c r="H44" s="478"/>
      <c r="I44" s="478"/>
      <c r="J44" s="296"/>
      <c r="K44" s="296"/>
    </row>
    <row r="45" spans="2:11" ht="24.95" customHeight="1">
      <c r="B45" s="2" t="s">
        <v>2</v>
      </c>
      <c r="C45" s="2"/>
      <c r="D45" s="477" t="s">
        <v>39</v>
      </c>
      <c r="K45" s="2"/>
    </row>
    <row r="46" spans="2:11" ht="24.95" customHeight="1"/>
    <row r="47" spans="2:11" ht="24.95" customHeight="1">
      <c r="B47" s="657" t="s">
        <v>4</v>
      </c>
      <c r="C47" s="654" t="s">
        <v>5</v>
      </c>
      <c r="D47" s="633" t="s">
        <v>6</v>
      </c>
      <c r="E47" s="634"/>
      <c r="F47" s="635"/>
      <c r="G47" s="639" t="s">
        <v>7</v>
      </c>
      <c r="H47" s="639" t="s">
        <v>8</v>
      </c>
      <c r="I47" s="639" t="s">
        <v>9</v>
      </c>
      <c r="J47" s="642" t="s">
        <v>10</v>
      </c>
      <c r="K47" s="645" t="s">
        <v>11</v>
      </c>
    </row>
    <row r="48" spans="2:11" ht="4.5" customHeight="1">
      <c r="B48" s="658"/>
      <c r="C48" s="655"/>
      <c r="D48" s="651" t="s">
        <v>12</v>
      </c>
      <c r="E48" s="630" t="s">
        <v>13</v>
      </c>
      <c r="F48" s="628" t="s">
        <v>14</v>
      </c>
      <c r="G48" s="640"/>
      <c r="H48" s="640"/>
      <c r="I48" s="640"/>
      <c r="J48" s="643"/>
      <c r="K48" s="646"/>
    </row>
    <row r="49" spans="2:16" ht="24.95" customHeight="1">
      <c r="B49" s="659"/>
      <c r="C49" s="656"/>
      <c r="D49" s="652"/>
      <c r="E49" s="631"/>
      <c r="F49" s="629"/>
      <c r="G49" s="641"/>
      <c r="H49" s="641"/>
      <c r="I49" s="641"/>
      <c r="J49" s="644"/>
      <c r="K49" s="647"/>
    </row>
    <row r="50" spans="2:16" ht="24.95" customHeight="1">
      <c r="B50" s="300">
        <v>1</v>
      </c>
      <c r="C50" s="301">
        <v>2</v>
      </c>
      <c r="D50" s="479">
        <v>3</v>
      </c>
      <c r="E50" s="479">
        <v>4</v>
      </c>
      <c r="F50" s="479">
        <v>5</v>
      </c>
      <c r="G50" s="479">
        <v>6</v>
      </c>
      <c r="H50" s="479">
        <v>7</v>
      </c>
      <c r="I50" s="479">
        <v>8</v>
      </c>
      <c r="J50" s="84">
        <v>9</v>
      </c>
      <c r="K50" s="333">
        <v>10</v>
      </c>
      <c r="L50" s="202"/>
    </row>
    <row r="51" spans="2:16" ht="24.95" customHeight="1">
      <c r="B51" s="134">
        <v>1</v>
      </c>
      <c r="C51" s="480" t="s">
        <v>15</v>
      </c>
      <c r="D51" s="497">
        <f>'PERKOMODITI 2024'!C11</f>
        <v>20</v>
      </c>
      <c r="E51" s="497">
        <f>'PERKOMODITI 2024'!D11</f>
        <v>100</v>
      </c>
      <c r="F51" s="497">
        <f>'PERKOMODITI 2024'!E11</f>
        <v>40</v>
      </c>
      <c r="G51" s="497">
        <f>F51+E51+D51</f>
        <v>160</v>
      </c>
      <c r="H51" s="497">
        <f>I51/1000*E51</f>
        <v>90.3</v>
      </c>
      <c r="I51" s="497">
        <f>'PERKOMODITI 2024'!V11</f>
        <v>903</v>
      </c>
      <c r="J51" s="507">
        <f>'PERKOMODITI 2024'!I11</f>
        <v>120</v>
      </c>
      <c r="K51" s="363"/>
      <c r="P51" s="500" t="s">
        <v>18</v>
      </c>
    </row>
    <row r="52" spans="2:16" ht="24.95" customHeight="1">
      <c r="B52" s="26">
        <v>2</v>
      </c>
      <c r="C52" s="90" t="s">
        <v>16</v>
      </c>
      <c r="D52" s="482">
        <f>'PERKOMODITI 2024'!C58</f>
        <v>514</v>
      </c>
      <c r="E52" s="482">
        <f>'PERKOMODITI 2024'!D58</f>
        <v>3324</v>
      </c>
      <c r="F52" s="482">
        <f>'PERKOMODITI 2024'!E58</f>
        <v>447</v>
      </c>
      <c r="G52" s="482">
        <f>F52+E52+D52</f>
        <v>4285</v>
      </c>
      <c r="H52" s="482">
        <f>I52/1000*E52</f>
        <v>11487.51132</v>
      </c>
      <c r="I52" s="482">
        <f>'PERKOMODITI 2024'!V58</f>
        <v>3455.93</v>
      </c>
      <c r="J52" s="508">
        <f>'PERKOMODITI 2024'!I58</f>
        <v>1739</v>
      </c>
      <c r="K52" s="509"/>
    </row>
    <row r="53" spans="2:16" ht="24.95" customHeight="1">
      <c r="B53" s="26">
        <v>3</v>
      </c>
      <c r="C53" s="90" t="s">
        <v>17</v>
      </c>
      <c r="D53" s="482">
        <f>'PERKOMODITI 2024'!C188</f>
        <v>1</v>
      </c>
      <c r="E53" s="482">
        <f>'PERKOMODITI 2024'!D188</f>
        <v>11.3</v>
      </c>
      <c r="F53" s="482">
        <f>'PERKOMODITI 2024'!E188</f>
        <v>1.6</v>
      </c>
      <c r="G53" s="482">
        <f t="shared" ref="G53:G61" si="2">F53+E53+D53</f>
        <v>13.9</v>
      </c>
      <c r="H53" s="482">
        <f t="shared" ref="H53:H57" si="3">I53/1000*E53</f>
        <v>10.170000000000002</v>
      </c>
      <c r="I53" s="482">
        <f>'PERKOMODITI 2024'!V188</f>
        <v>900</v>
      </c>
      <c r="J53" s="508">
        <f>'PERKOMODITI 2024'!I188</f>
        <v>146</v>
      </c>
      <c r="K53" s="291"/>
    </row>
    <row r="54" spans="2:16" ht="24.95" customHeight="1">
      <c r="B54" s="26">
        <v>4</v>
      </c>
      <c r="C54" s="90" t="s">
        <v>19</v>
      </c>
      <c r="D54" s="482">
        <v>0</v>
      </c>
      <c r="E54" s="482">
        <v>0</v>
      </c>
      <c r="F54" s="482">
        <v>0</v>
      </c>
      <c r="G54" s="482">
        <f t="shared" si="2"/>
        <v>0</v>
      </c>
      <c r="H54" s="482">
        <f t="shared" si="3"/>
        <v>0</v>
      </c>
      <c r="I54" s="498">
        <v>0</v>
      </c>
      <c r="J54" s="508">
        <v>0</v>
      </c>
      <c r="K54" s="291"/>
    </row>
    <row r="55" spans="2:16" ht="24.95" customHeight="1">
      <c r="B55" s="26">
        <v>5</v>
      </c>
      <c r="C55" s="90" t="s">
        <v>21</v>
      </c>
      <c r="D55" s="482">
        <f>'PERKOMODITI 2024'!C141</f>
        <v>0.4</v>
      </c>
      <c r="E55" s="482">
        <f>'PERKOMODITI 2024'!D141</f>
        <v>6</v>
      </c>
      <c r="F55" s="482">
        <f>'PERKOMODITI 2024'!E141</f>
        <v>12</v>
      </c>
      <c r="G55" s="482">
        <f t="shared" si="2"/>
        <v>18.399999999999999</v>
      </c>
      <c r="H55" s="482">
        <f t="shared" si="3"/>
        <v>2.4000000000000004</v>
      </c>
      <c r="I55" s="482">
        <f>'PERKOMODITI 2024'!V141</f>
        <v>400</v>
      </c>
      <c r="J55" s="508">
        <f>'PERKOMODITI 2024'!I141</f>
        <v>78</v>
      </c>
      <c r="K55" s="291"/>
    </row>
    <row r="56" spans="2:16" ht="24.95" customHeight="1">
      <c r="B56" s="26">
        <v>6</v>
      </c>
      <c r="C56" s="90" t="s">
        <v>22</v>
      </c>
      <c r="D56" s="482">
        <v>0</v>
      </c>
      <c r="E56" s="482">
        <v>0</v>
      </c>
      <c r="F56" s="482">
        <v>0</v>
      </c>
      <c r="G56" s="482">
        <f t="shared" si="2"/>
        <v>0</v>
      </c>
      <c r="H56" s="482">
        <f t="shared" si="3"/>
        <v>0</v>
      </c>
      <c r="I56" s="482">
        <v>0</v>
      </c>
      <c r="J56" s="508">
        <v>0</v>
      </c>
      <c r="K56" s="291"/>
    </row>
    <row r="57" spans="2:16" ht="24.95" customHeight="1">
      <c r="B57" s="26">
        <v>7</v>
      </c>
      <c r="C57" s="90" t="s">
        <v>23</v>
      </c>
      <c r="D57" s="482">
        <f>'PERKOMODITI 2024'!C96</f>
        <v>1</v>
      </c>
      <c r="E57" s="482">
        <f>'PERKOMODITI 2024'!D96</f>
        <v>4</v>
      </c>
      <c r="F57" s="482">
        <f>'PERKOMODITI 2024'!E96</f>
        <v>1</v>
      </c>
      <c r="G57" s="482">
        <f t="shared" si="2"/>
        <v>6</v>
      </c>
      <c r="H57" s="482">
        <f t="shared" si="3"/>
        <v>3.472</v>
      </c>
      <c r="I57" s="482">
        <f>'PERKOMODITI 2024'!V96</f>
        <v>868</v>
      </c>
      <c r="J57" s="508">
        <f>'PERKOMODITI 2024'!I96</f>
        <v>65</v>
      </c>
      <c r="K57" s="510"/>
    </row>
    <row r="58" spans="2:16" ht="24.95" customHeight="1">
      <c r="B58" s="26">
        <v>8</v>
      </c>
      <c r="C58" s="90" t="s">
        <v>24</v>
      </c>
      <c r="D58" s="535">
        <f>'PERKOMODITI 2024'!Q451</f>
        <v>0</v>
      </c>
      <c r="E58" s="535">
        <f>'PERKOMODITI 2024'!R451</f>
        <v>0</v>
      </c>
      <c r="F58" s="482">
        <f>'PERKOMODITI 2024'!S451</f>
        <v>0</v>
      </c>
      <c r="G58" s="535">
        <f>'PERKOMODITI 2024'!T451</f>
        <v>0</v>
      </c>
      <c r="H58" s="535">
        <f>'PERKOMODITI 2024'!U451</f>
        <v>0</v>
      </c>
      <c r="I58" s="536">
        <f>'PERKOMODITI 2024'!V451</f>
        <v>0</v>
      </c>
      <c r="J58" s="537">
        <f>'PERKOMODITI 2024'!W451</f>
        <v>0</v>
      </c>
      <c r="K58" s="291"/>
    </row>
    <row r="59" spans="2:16" ht="24.95" customHeight="1">
      <c r="B59" s="26">
        <v>9</v>
      </c>
      <c r="C59" s="90" t="s">
        <v>25</v>
      </c>
      <c r="D59" s="482">
        <v>0</v>
      </c>
      <c r="E59" s="482">
        <v>0</v>
      </c>
      <c r="F59" s="482">
        <v>0</v>
      </c>
      <c r="G59" s="482">
        <f t="shared" si="2"/>
        <v>0</v>
      </c>
      <c r="H59" s="482">
        <f t="shared" ref="H59:H61" si="4">I59/1000*E59</f>
        <v>0</v>
      </c>
      <c r="I59" s="482">
        <v>0</v>
      </c>
      <c r="J59" s="508">
        <v>0</v>
      </c>
      <c r="K59" s="291"/>
    </row>
    <row r="60" spans="2:16" ht="24.95" customHeight="1">
      <c r="B60" s="26">
        <v>10</v>
      </c>
      <c r="C60" s="90" t="s">
        <v>26</v>
      </c>
      <c r="D60" s="482">
        <f>'PERKOMODITI 2024'!C235</f>
        <v>17</v>
      </c>
      <c r="E60" s="482">
        <f>'PERKOMODITI 2024'!D235</f>
        <v>8</v>
      </c>
      <c r="F60" s="482">
        <f>'PERKOMODITI 2024'!E235</f>
        <v>1.8000000000000007</v>
      </c>
      <c r="G60" s="482">
        <f>E60+D60+F60</f>
        <v>26.8</v>
      </c>
      <c r="H60" s="482">
        <f t="shared" si="4"/>
        <v>2.992</v>
      </c>
      <c r="I60" s="482">
        <f>'PERKOMODITI 2024'!V235</f>
        <v>374</v>
      </c>
      <c r="J60" s="508">
        <f>'PERKOMODITI 2024'!I235</f>
        <v>152</v>
      </c>
      <c r="K60" s="291"/>
    </row>
    <row r="61" spans="2:16" ht="24.95" customHeight="1">
      <c r="B61" s="26">
        <v>11</v>
      </c>
      <c r="C61" s="90" t="s">
        <v>27</v>
      </c>
      <c r="D61" s="482">
        <f>'PERKOMODITI 2024'!C326</f>
        <v>1</v>
      </c>
      <c r="E61" s="482">
        <f>'PERKOMODITI 2024'!D326</f>
        <v>2</v>
      </c>
      <c r="F61" s="482">
        <f>'PERKOMODITI 2024'!E326</f>
        <v>0.29999999999999982</v>
      </c>
      <c r="G61" s="482">
        <f t="shared" si="2"/>
        <v>3.3</v>
      </c>
      <c r="H61" s="482">
        <f t="shared" si="4"/>
        <v>0.30199999999999999</v>
      </c>
      <c r="I61" s="482">
        <f>'PERKOMODITI 2024'!V326</f>
        <v>151</v>
      </c>
      <c r="J61" s="508">
        <f>'PERKOMODITI 2024'!I326</f>
        <v>32</v>
      </c>
      <c r="K61" s="291"/>
    </row>
    <row r="62" spans="2:16" ht="24.95" customHeight="1">
      <c r="B62" s="26">
        <v>12</v>
      </c>
      <c r="C62" s="105" t="s">
        <v>28</v>
      </c>
      <c r="D62" s="535">
        <f>'PERKOMODITI 2024'!Q652</f>
        <v>0</v>
      </c>
      <c r="E62" s="535">
        <f>'PERKOMODITI 2024'!R652</f>
        <v>0</v>
      </c>
      <c r="F62" s="535">
        <f>'PERKOMODITI 2024'!S652</f>
        <v>0</v>
      </c>
      <c r="G62" s="498" t="s">
        <v>20</v>
      </c>
      <c r="H62" s="498" t="s">
        <v>20</v>
      </c>
      <c r="I62" s="535">
        <f>'PERKOMODITI 2024'!V652</f>
        <v>0</v>
      </c>
      <c r="J62" s="537">
        <f>'PERKOMODITI 2024'!W652</f>
        <v>0</v>
      </c>
      <c r="K62" s="126"/>
    </row>
    <row r="63" spans="2:16" ht="24.95" customHeight="1">
      <c r="B63" s="26">
        <v>13</v>
      </c>
      <c r="C63" s="90" t="s">
        <v>29</v>
      </c>
      <c r="D63" s="535">
        <f>'PERKOMODITI 2024'!Q653</f>
        <v>0</v>
      </c>
      <c r="E63" s="535">
        <f>'PERKOMODITI 2024'!R653</f>
        <v>0</v>
      </c>
      <c r="F63" s="535">
        <f>'PERKOMODITI 2024'!S653</f>
        <v>0</v>
      </c>
      <c r="G63" s="498" t="s">
        <v>20</v>
      </c>
      <c r="H63" s="498" t="s">
        <v>20</v>
      </c>
      <c r="I63" s="535">
        <f>'PERKOMODITI 2024'!V653</f>
        <v>0</v>
      </c>
      <c r="J63" s="537">
        <f>'PERKOMODITI 2024'!W653</f>
        <v>0</v>
      </c>
      <c r="K63" s="511"/>
    </row>
    <row r="64" spans="2:16" ht="24.95" customHeight="1">
      <c r="B64" s="26">
        <v>14</v>
      </c>
      <c r="C64" s="483" t="s">
        <v>30</v>
      </c>
      <c r="D64" s="482">
        <f>'PERKOMODITI 2024'!Q581</f>
        <v>0</v>
      </c>
      <c r="E64" s="482" t="s">
        <v>20</v>
      </c>
      <c r="F64" s="482" t="s">
        <v>20</v>
      </c>
      <c r="G64" s="498" t="s">
        <v>20</v>
      </c>
      <c r="H64" s="498" t="s">
        <v>20</v>
      </c>
      <c r="I64" s="482" t="s">
        <v>20</v>
      </c>
      <c r="J64" s="508" t="s">
        <v>20</v>
      </c>
      <c r="K64" s="511"/>
    </row>
    <row r="65" spans="2:11" ht="24.95" customHeight="1">
      <c r="B65" s="26">
        <v>15</v>
      </c>
      <c r="C65" s="483" t="s">
        <v>31</v>
      </c>
      <c r="D65" s="535">
        <f>'PERKOMODITI 2024'!Q610</f>
        <v>0</v>
      </c>
      <c r="E65" s="535">
        <f>'PERKOMODITI 2024'!R610</f>
        <v>0</v>
      </c>
      <c r="F65" s="535">
        <f>'PERKOMODITI 2024'!S610</f>
        <v>0</v>
      </c>
      <c r="G65" s="498" t="s">
        <v>20</v>
      </c>
      <c r="H65" s="498" t="s">
        <v>20</v>
      </c>
      <c r="I65" s="482">
        <f>'PERKOMODITI 2024'!V582</f>
        <v>0</v>
      </c>
      <c r="J65" s="537">
        <f>'PERKOMODITI 2024'!W610</f>
        <v>0</v>
      </c>
      <c r="K65" s="511"/>
    </row>
    <row r="66" spans="2:11" ht="24.95" customHeight="1">
      <c r="B66" s="111">
        <v>16</v>
      </c>
      <c r="C66" s="485" t="s">
        <v>32</v>
      </c>
      <c r="D66" s="512" t="s">
        <v>20</v>
      </c>
      <c r="E66" s="512" t="s">
        <v>20</v>
      </c>
      <c r="F66" s="486">
        <f>'PERKOMODITI 2024'!S644</f>
        <v>0</v>
      </c>
      <c r="G66" s="538" t="str">
        <f>D66</f>
        <v>-</v>
      </c>
      <c r="H66" s="512" t="s">
        <v>20</v>
      </c>
      <c r="I66" s="486">
        <f>'PERKOMODITI 2024'!V384</f>
        <v>0</v>
      </c>
      <c r="J66" s="513">
        <f>'PERKOMODITI 2024'!W384</f>
        <v>0</v>
      </c>
      <c r="K66" s="503"/>
    </row>
    <row r="67" spans="2:11" ht="24.95" customHeight="1"/>
    <row r="68" spans="2:11" ht="20.25" customHeight="1">
      <c r="H68" s="489" t="s">
        <v>12</v>
      </c>
      <c r="I68" s="636" t="s">
        <v>33</v>
      </c>
      <c r="J68" s="636"/>
      <c r="K68" s="636"/>
    </row>
    <row r="69" spans="2:11" ht="20.25" customHeight="1">
      <c r="H69" s="492" t="s">
        <v>13</v>
      </c>
      <c r="I69" s="636" t="s">
        <v>34</v>
      </c>
      <c r="J69" s="636"/>
      <c r="K69" s="636"/>
    </row>
    <row r="70" spans="2:11" ht="21" customHeight="1">
      <c r="H70" s="489" t="s">
        <v>14</v>
      </c>
      <c r="I70" s="636" t="s">
        <v>35</v>
      </c>
      <c r="J70" s="636"/>
      <c r="K70" s="636"/>
    </row>
    <row r="71" spans="2:11" ht="17.25" customHeight="1">
      <c r="H71" s="660"/>
      <c r="I71" s="660"/>
      <c r="J71" s="660"/>
      <c r="K71" s="660"/>
    </row>
    <row r="72" spans="2:11" ht="24.95" customHeight="1">
      <c r="C72" s="44" t="s">
        <v>36</v>
      </c>
      <c r="D72" s="494"/>
      <c r="E72" s="494"/>
      <c r="F72" s="494"/>
      <c r="H72" s="638"/>
      <c r="I72" s="638"/>
      <c r="J72" s="638"/>
      <c r="K72" s="638"/>
    </row>
    <row r="73" spans="2:11" ht="10.5" customHeight="1">
      <c r="C73" s="263"/>
      <c r="D73" s="494"/>
      <c r="E73" s="494"/>
      <c r="F73" s="494"/>
      <c r="H73" s="638"/>
      <c r="I73" s="638"/>
      <c r="J73" s="638"/>
      <c r="K73" s="638"/>
    </row>
    <row r="74" spans="2:11" ht="14.25" customHeight="1">
      <c r="C74" s="45"/>
      <c r="D74" s="494"/>
      <c r="E74" s="494"/>
      <c r="F74" s="494"/>
      <c r="H74" s="494"/>
      <c r="I74" s="494"/>
      <c r="J74" s="506"/>
      <c r="K74" s="45"/>
    </row>
    <row r="75" spans="2:11" ht="18" customHeight="1">
      <c r="C75" s="45"/>
      <c r="D75" s="494"/>
      <c r="E75" s="494"/>
      <c r="F75" s="494"/>
      <c r="H75" s="494"/>
      <c r="I75" s="494"/>
      <c r="J75" s="506"/>
      <c r="K75" s="45"/>
    </row>
    <row r="76" spans="2:11" ht="24.95" customHeight="1">
      <c r="C76" s="495" t="s">
        <v>40</v>
      </c>
      <c r="D76" s="496"/>
      <c r="E76" s="496"/>
      <c r="F76" s="496"/>
      <c r="H76" s="653"/>
      <c r="I76" s="653"/>
      <c r="J76" s="653"/>
      <c r="K76" s="653"/>
    </row>
    <row r="77" spans="2:11" ht="12.75" customHeight="1">
      <c r="C77" s="266"/>
      <c r="H77" s="650"/>
      <c r="I77" s="637"/>
      <c r="J77" s="637"/>
      <c r="K77" s="637"/>
    </row>
    <row r="78" spans="2:11" ht="12.75" customHeight="1">
      <c r="C78" s="266"/>
      <c r="H78" s="47"/>
      <c r="I78" s="48"/>
      <c r="J78" s="48"/>
      <c r="K78" s="48"/>
    </row>
    <row r="79" spans="2:11" ht="12.75" customHeight="1">
      <c r="C79" s="266"/>
      <c r="H79" s="47"/>
      <c r="I79" s="48"/>
      <c r="J79" s="48"/>
      <c r="K79" s="48"/>
    </row>
    <row r="80" spans="2:11" ht="15.75" customHeight="1"/>
    <row r="81" spans="2:16" ht="24.95" customHeight="1">
      <c r="B81" s="632" t="s">
        <v>0</v>
      </c>
      <c r="C81" s="632"/>
      <c r="D81" s="632"/>
      <c r="E81" s="632"/>
      <c r="F81" s="632"/>
      <c r="G81" s="632"/>
      <c r="H81" s="632"/>
      <c r="I81" s="632"/>
      <c r="J81" s="632"/>
      <c r="K81" s="632"/>
    </row>
    <row r="82" spans="2:16" ht="24.95" customHeight="1">
      <c r="B82" s="632" t="s">
        <v>1</v>
      </c>
      <c r="C82" s="632"/>
      <c r="D82" s="632"/>
      <c r="E82" s="632"/>
      <c r="F82" s="632"/>
      <c r="G82" s="632"/>
      <c r="H82" s="632"/>
      <c r="I82" s="632"/>
      <c r="J82" s="632"/>
      <c r="K82" s="632"/>
    </row>
    <row r="83" spans="2:16" ht="24.95" customHeight="1">
      <c r="B83" s="632" t="s">
        <v>313</v>
      </c>
      <c r="C83" s="632"/>
      <c r="D83" s="632"/>
      <c r="E83" s="632"/>
      <c r="F83" s="632"/>
      <c r="G83" s="632"/>
      <c r="H83" s="632"/>
      <c r="I83" s="632"/>
      <c r="J83" s="632"/>
      <c r="K83" s="632"/>
    </row>
    <row r="84" spans="2:16" ht="24.95" customHeight="1">
      <c r="B84" s="296"/>
      <c r="C84" s="296"/>
      <c r="D84" s="478"/>
      <c r="E84" s="478"/>
      <c r="F84" s="478"/>
      <c r="G84" s="478"/>
      <c r="H84" s="478"/>
      <c r="I84" s="478"/>
      <c r="J84" s="296"/>
      <c r="K84" s="296"/>
    </row>
    <row r="85" spans="2:16" ht="24.95" customHeight="1">
      <c r="B85" s="2" t="s">
        <v>2</v>
      </c>
      <c r="C85" s="2"/>
      <c r="D85" s="477" t="s">
        <v>41</v>
      </c>
      <c r="K85" s="2"/>
    </row>
    <row r="86" spans="2:16" ht="24.95" customHeight="1">
      <c r="B86" s="2"/>
      <c r="C86" s="2"/>
      <c r="K86" s="2"/>
    </row>
    <row r="87" spans="2:16" ht="24.95" customHeight="1">
      <c r="B87" s="657" t="s">
        <v>4</v>
      </c>
      <c r="C87" s="654" t="s">
        <v>5</v>
      </c>
      <c r="D87" s="633" t="s">
        <v>6</v>
      </c>
      <c r="E87" s="634"/>
      <c r="F87" s="635"/>
      <c r="G87" s="639" t="s">
        <v>7</v>
      </c>
      <c r="H87" s="639" t="s">
        <v>8</v>
      </c>
      <c r="I87" s="639" t="s">
        <v>9</v>
      </c>
      <c r="J87" s="642" t="s">
        <v>10</v>
      </c>
      <c r="K87" s="645" t="s">
        <v>11</v>
      </c>
    </row>
    <row r="88" spans="2:16" ht="24.95" customHeight="1">
      <c r="B88" s="658"/>
      <c r="C88" s="655"/>
      <c r="D88" s="651" t="s">
        <v>12</v>
      </c>
      <c r="E88" s="630" t="s">
        <v>13</v>
      </c>
      <c r="F88" s="628" t="s">
        <v>14</v>
      </c>
      <c r="G88" s="640"/>
      <c r="H88" s="640"/>
      <c r="I88" s="640"/>
      <c r="J88" s="643"/>
      <c r="K88" s="646"/>
    </row>
    <row r="89" spans="2:16" ht="24.95" customHeight="1">
      <c r="B89" s="659"/>
      <c r="C89" s="656"/>
      <c r="D89" s="652"/>
      <c r="E89" s="631"/>
      <c r="F89" s="629"/>
      <c r="G89" s="641"/>
      <c r="H89" s="641"/>
      <c r="I89" s="641"/>
      <c r="J89" s="644"/>
      <c r="K89" s="647"/>
    </row>
    <row r="90" spans="2:16" ht="24.95" customHeight="1">
      <c r="B90" s="83">
        <v>1</v>
      </c>
      <c r="C90" s="84">
        <v>2</v>
      </c>
      <c r="D90" s="479">
        <v>3</v>
      </c>
      <c r="E90" s="479">
        <v>4</v>
      </c>
      <c r="F90" s="479">
        <v>5</v>
      </c>
      <c r="G90" s="479">
        <v>6</v>
      </c>
      <c r="H90" s="479">
        <v>7</v>
      </c>
      <c r="I90" s="479">
        <v>8</v>
      </c>
      <c r="J90" s="84">
        <v>9</v>
      </c>
      <c r="K90" s="119">
        <v>10</v>
      </c>
      <c r="L90" s="202"/>
      <c r="P90" s="500" t="s">
        <v>18</v>
      </c>
    </row>
    <row r="91" spans="2:16" ht="24.95" customHeight="1">
      <c r="B91" s="134">
        <v>1</v>
      </c>
      <c r="C91" s="480" t="s">
        <v>15</v>
      </c>
      <c r="D91" s="497">
        <f>'PERKOMODITI 2024'!C12</f>
        <v>100</v>
      </c>
      <c r="E91" s="497">
        <f>'PERKOMODITI 2024'!D12</f>
        <v>289</v>
      </c>
      <c r="F91" s="497">
        <f>'PERKOMODITI 2024'!E12</f>
        <v>100</v>
      </c>
      <c r="G91" s="497">
        <f>'PERKOMODITI 2024'!F12</f>
        <v>489</v>
      </c>
      <c r="H91" s="497">
        <f>'PERKOMODITI 2024'!G12</f>
        <v>260.96699999999998</v>
      </c>
      <c r="I91" s="497">
        <f>'PERKOMODITI 2024'!H12</f>
        <v>903</v>
      </c>
      <c r="J91" s="497">
        <f>'PERKOMODITI 2024'!I12</f>
        <v>501</v>
      </c>
      <c r="K91" s="514"/>
    </row>
    <row r="92" spans="2:16" ht="24.95" customHeight="1">
      <c r="B92" s="26">
        <v>2</v>
      </c>
      <c r="C92" s="90" t="s">
        <v>16</v>
      </c>
      <c r="D92" s="482">
        <f>'PERKOMODITI 2024'!C59</f>
        <v>1060</v>
      </c>
      <c r="E92" s="482">
        <f>'PERKOMODITI 2024'!D59</f>
        <v>1514</v>
      </c>
      <c r="F92" s="482">
        <f>'PERKOMODITI 2024'!E59</f>
        <v>262</v>
      </c>
      <c r="G92" s="482">
        <f>'PERKOMODITI 2024'!F59</f>
        <v>2836</v>
      </c>
      <c r="H92" s="482">
        <f>'PERKOMODITI 2024'!G59</f>
        <v>5232.384</v>
      </c>
      <c r="I92" s="482">
        <f>'PERKOMODITI 2024'!H59</f>
        <v>3456</v>
      </c>
      <c r="J92" s="482">
        <f>'PERKOMODITI 2024'!I59</f>
        <v>734</v>
      </c>
      <c r="K92" s="515"/>
    </row>
    <row r="93" spans="2:16" ht="24.95" customHeight="1">
      <c r="B93" s="26">
        <v>3</v>
      </c>
      <c r="C93" s="90" t="s">
        <v>17</v>
      </c>
      <c r="D93" s="482">
        <f>'PERKOMODITI 2024'!C189</f>
        <v>8</v>
      </c>
      <c r="E93" s="482">
        <f>'PERKOMODITI 2024'!D189</f>
        <v>13</v>
      </c>
      <c r="F93" s="482">
        <f>'PERKOMODITI 2024'!E189</f>
        <v>2.1</v>
      </c>
      <c r="G93" s="482">
        <f>'PERKOMODITI 2024'!F189</f>
        <v>23.1</v>
      </c>
      <c r="H93" s="482">
        <f>'PERKOMODITI 2024'!G189</f>
        <v>11.700000000000001</v>
      </c>
      <c r="I93" s="482">
        <f>'PERKOMODITI 2024'!H189</f>
        <v>900</v>
      </c>
      <c r="J93" s="482">
        <f>'PERKOMODITI 2024'!I189</f>
        <v>194</v>
      </c>
      <c r="K93" s="515"/>
    </row>
    <row r="94" spans="2:16" ht="24.95" customHeight="1">
      <c r="B94" s="26">
        <v>4</v>
      </c>
      <c r="C94" s="90" t="s">
        <v>19</v>
      </c>
      <c r="D94" s="482">
        <f>'PERKOMODITI 2024'!C282</f>
        <v>0</v>
      </c>
      <c r="E94" s="482">
        <f>'PERKOMODITI 2024'!D282</f>
        <v>0</v>
      </c>
      <c r="F94" s="482">
        <f>'PERKOMODITI 2024'!E282</f>
        <v>0</v>
      </c>
      <c r="G94" s="482">
        <f>'PERKOMODITI 2024'!F282</f>
        <v>0</v>
      </c>
      <c r="H94" s="482">
        <f>'PERKOMODITI 2024'!G282</f>
        <v>0</v>
      </c>
      <c r="I94" s="482">
        <f>'PERKOMODITI 2024'!H282</f>
        <v>0</v>
      </c>
      <c r="J94" s="482">
        <f>'PERKOMODITI 2024'!I282</f>
        <v>0</v>
      </c>
      <c r="K94" s="515"/>
    </row>
    <row r="95" spans="2:16" ht="24.95" customHeight="1">
      <c r="B95" s="26">
        <v>5</v>
      </c>
      <c r="C95" s="90" t="s">
        <v>21</v>
      </c>
      <c r="D95" s="482">
        <f>'PERKOMODITI 2024'!C142</f>
        <v>4</v>
      </c>
      <c r="E95" s="482">
        <f>'PERKOMODITI 2024'!D142</f>
        <v>9</v>
      </c>
      <c r="F95" s="482">
        <f>'PERKOMODITI 2024'!E142</f>
        <v>10</v>
      </c>
      <c r="G95" s="482">
        <f>'PERKOMODITI 2024'!F142</f>
        <v>23</v>
      </c>
      <c r="H95" s="482">
        <f>'PERKOMODITI 2024'!G142</f>
        <v>3.6</v>
      </c>
      <c r="I95" s="482">
        <f>'PERKOMODITI 2024'!H142</f>
        <v>400</v>
      </c>
      <c r="J95" s="482">
        <f>'PERKOMODITI 2024'!I142</f>
        <v>85</v>
      </c>
      <c r="K95" s="515"/>
    </row>
    <row r="96" spans="2:16" ht="24.95" customHeight="1">
      <c r="B96" s="26">
        <v>6</v>
      </c>
      <c r="C96" s="90" t="s">
        <v>22</v>
      </c>
      <c r="D96" s="482">
        <f>'PERKOMODITI 2024'!C415</f>
        <v>0</v>
      </c>
      <c r="E96" s="482">
        <f>'PERKOMODITI 2024'!D415</f>
        <v>0</v>
      </c>
      <c r="F96" s="482">
        <f>'PERKOMODITI 2024'!E415</f>
        <v>0</v>
      </c>
      <c r="G96" s="482">
        <f>'PERKOMODITI 2024'!F415</f>
        <v>0</v>
      </c>
      <c r="H96" s="482">
        <f>'PERKOMODITI 2024'!G415</f>
        <v>0</v>
      </c>
      <c r="I96" s="482">
        <f>'PERKOMODITI 2024'!H415</f>
        <v>0</v>
      </c>
      <c r="J96" s="482">
        <f>'PERKOMODITI 2024'!I415</f>
        <v>0</v>
      </c>
      <c r="K96" s="515"/>
    </row>
    <row r="97" spans="2:11" ht="24.95" customHeight="1">
      <c r="B97" s="26">
        <v>7</v>
      </c>
      <c r="C97" s="90" t="s">
        <v>23</v>
      </c>
      <c r="D97" s="482">
        <f>'PERKOMODITI 2024'!C97</f>
        <v>8</v>
      </c>
      <c r="E97" s="482">
        <f>'PERKOMODITI 2024'!D97</f>
        <v>11</v>
      </c>
      <c r="F97" s="482">
        <f>'PERKOMODITI 2024'!E97</f>
        <v>5</v>
      </c>
      <c r="G97" s="482">
        <f>'PERKOMODITI 2024'!F97</f>
        <v>24</v>
      </c>
      <c r="H97" s="482">
        <f>'PERKOMODITI 2024'!G97</f>
        <v>9.548</v>
      </c>
      <c r="I97" s="482">
        <f>'PERKOMODITI 2024'!H97</f>
        <v>868</v>
      </c>
      <c r="J97" s="482">
        <f>'PERKOMODITI 2024'!I97</f>
        <v>120</v>
      </c>
      <c r="K97" s="388"/>
    </row>
    <row r="98" spans="2:11" ht="24.95" customHeight="1">
      <c r="B98" s="26">
        <v>8</v>
      </c>
      <c r="C98" s="90" t="s">
        <v>24</v>
      </c>
      <c r="D98" s="482" t="str">
        <f>'PERKOMODITI 2024'!C452</f>
        <v>-</v>
      </c>
      <c r="E98" s="482" t="str">
        <f>'PERKOMODITI 2024'!D452</f>
        <v>-</v>
      </c>
      <c r="F98" s="482">
        <f>'PERKOMODITI 2024'!E452</f>
        <v>0</v>
      </c>
      <c r="G98" s="482" t="str">
        <f>'PERKOMODITI 2024'!F452</f>
        <v>-</v>
      </c>
      <c r="H98" s="482" t="str">
        <f>'PERKOMODITI 2024'!G452</f>
        <v>-</v>
      </c>
      <c r="I98" s="482" t="str">
        <f>'PERKOMODITI 2024'!H452</f>
        <v>-</v>
      </c>
      <c r="J98" s="482" t="str">
        <f>'PERKOMODITI 2024'!I452</f>
        <v>-</v>
      </c>
      <c r="K98" s="515"/>
    </row>
    <row r="99" spans="2:11" ht="24.95" customHeight="1">
      <c r="B99" s="26">
        <v>9</v>
      </c>
      <c r="C99" s="90" t="s">
        <v>25</v>
      </c>
      <c r="D99" s="482" t="str">
        <f>'PERKOMODITI 2024'!C372</f>
        <v>-</v>
      </c>
      <c r="E99" s="482">
        <f>'PERKOMODITI 2024'!D372</f>
        <v>10</v>
      </c>
      <c r="F99" s="482">
        <f>'PERKOMODITI 2024'!E372</f>
        <v>2</v>
      </c>
      <c r="G99" s="482">
        <f>'PERKOMODITI 2024'!F372</f>
        <v>12</v>
      </c>
      <c r="H99" s="482">
        <f>'PERKOMODITI 2024'!G372</f>
        <v>5.1400000000000006</v>
      </c>
      <c r="I99" s="482">
        <f>'PERKOMODITI 2024'!H372</f>
        <v>514</v>
      </c>
      <c r="J99" s="482">
        <f>'PERKOMODITI 2024'!I372</f>
        <v>25</v>
      </c>
      <c r="K99" s="515"/>
    </row>
    <row r="100" spans="2:11" ht="24.95" customHeight="1">
      <c r="B100" s="26">
        <v>10</v>
      </c>
      <c r="C100" s="90" t="s">
        <v>26</v>
      </c>
      <c r="D100" s="482">
        <f>'PERKOMODITI 2024'!C236</f>
        <v>0</v>
      </c>
      <c r="E100" s="482">
        <f>'PERKOMODITI 2024'!D236</f>
        <v>1</v>
      </c>
      <c r="F100" s="482">
        <f>'PERKOMODITI 2024'!E236</f>
        <v>0</v>
      </c>
      <c r="G100" s="482">
        <f>'PERKOMODITI 2024'!F236</f>
        <v>1</v>
      </c>
      <c r="H100" s="482">
        <f>'PERKOMODITI 2024'!G236</f>
        <v>0.374</v>
      </c>
      <c r="I100" s="482">
        <f>'PERKOMODITI 2024'!H236</f>
        <v>374</v>
      </c>
      <c r="J100" s="482">
        <f>'PERKOMODITI 2024'!I236</f>
        <v>42</v>
      </c>
      <c r="K100" s="515"/>
    </row>
    <row r="101" spans="2:11" ht="24.95" customHeight="1">
      <c r="B101" s="26">
        <v>11</v>
      </c>
      <c r="C101" s="90" t="s">
        <v>27</v>
      </c>
      <c r="D101" s="482">
        <f>'PERKOMODITI 2024'!C327</f>
        <v>8</v>
      </c>
      <c r="E101" s="482">
        <f>'PERKOMODITI 2024'!D327</f>
        <v>6</v>
      </c>
      <c r="F101" s="482">
        <f>'PERKOMODITI 2024'!E327</f>
        <v>10</v>
      </c>
      <c r="G101" s="482">
        <f>'PERKOMODITI 2024'!F327</f>
        <v>24</v>
      </c>
      <c r="H101" s="482">
        <f>'PERKOMODITI 2024'!G327</f>
        <v>0.90599999999999992</v>
      </c>
      <c r="I101" s="482">
        <f>'PERKOMODITI 2024'!H327</f>
        <v>151</v>
      </c>
      <c r="J101" s="482">
        <f>'PERKOMODITI 2024'!I327</f>
        <v>110</v>
      </c>
      <c r="K101" s="515"/>
    </row>
    <row r="102" spans="2:11" ht="24.95" customHeight="1">
      <c r="B102" s="26">
        <v>12</v>
      </c>
      <c r="C102" s="105" t="s">
        <v>28</v>
      </c>
      <c r="D102" s="482">
        <f>'PERKOMODITI 2024'!C490</f>
        <v>0</v>
      </c>
      <c r="E102" s="482">
        <f>'PERKOMODITI 2024'!D490</f>
        <v>0</v>
      </c>
      <c r="F102" s="482">
        <f>'PERKOMODITI 2024'!E490</f>
        <v>0</v>
      </c>
      <c r="G102" s="482">
        <f>'PERKOMODITI 2024'!F490</f>
        <v>0</v>
      </c>
      <c r="H102" s="482">
        <f>'PERKOMODITI 2024'!G490</f>
        <v>0</v>
      </c>
      <c r="I102" s="482">
        <f>'PERKOMODITI 2024'!H490</f>
        <v>0</v>
      </c>
      <c r="J102" s="482">
        <f>'PERKOMODITI 2024'!I490</f>
        <v>0</v>
      </c>
      <c r="K102" s="126"/>
    </row>
    <row r="103" spans="2:11" ht="24.95" customHeight="1">
      <c r="B103" s="26">
        <v>13</v>
      </c>
      <c r="C103" s="90" t="s">
        <v>29</v>
      </c>
      <c r="D103" s="535">
        <f>'PERKOMODITI 2024'!C535</f>
        <v>0</v>
      </c>
      <c r="E103" s="535">
        <f>'PERKOMODITI 2024'!D535</f>
        <v>0</v>
      </c>
      <c r="F103" s="535">
        <f>'PERKOMODITI 2024'!E535</f>
        <v>0</v>
      </c>
      <c r="G103" s="535">
        <f>'PERKOMODITI 2024'!F535</f>
        <v>0</v>
      </c>
      <c r="H103" s="535">
        <f>'PERKOMODITI 2024'!G535</f>
        <v>0</v>
      </c>
      <c r="I103" s="535">
        <f>'PERKOMODITI 2024'!H535</f>
        <v>0</v>
      </c>
      <c r="J103" s="535">
        <f>'PERKOMODITI 2024'!I535</f>
        <v>0</v>
      </c>
      <c r="K103" s="515"/>
    </row>
    <row r="104" spans="2:11" ht="24.95" customHeight="1">
      <c r="B104" s="26">
        <v>14</v>
      </c>
      <c r="C104" s="483" t="s">
        <v>30</v>
      </c>
      <c r="D104" s="535">
        <f>'PERKOMODITI 2024'!Q536</f>
        <v>0</v>
      </c>
      <c r="E104" s="535">
        <f>'PERKOMODITI 2024'!R536</f>
        <v>0</v>
      </c>
      <c r="F104" s="535">
        <f>'PERKOMODITI 2024'!S536</f>
        <v>0</v>
      </c>
      <c r="G104" s="498" t="s">
        <v>20</v>
      </c>
      <c r="H104" s="498" t="s">
        <v>20</v>
      </c>
      <c r="I104" s="535">
        <f>'PERKOMODITI 2024'!V536</f>
        <v>0</v>
      </c>
      <c r="J104" s="537">
        <f>'PERKOMODITI 2024'!W536</f>
        <v>0</v>
      </c>
      <c r="K104" s="515"/>
    </row>
    <row r="105" spans="2:11" ht="24.95" customHeight="1">
      <c r="B105" s="26">
        <v>15</v>
      </c>
      <c r="C105" s="483" t="s">
        <v>31</v>
      </c>
      <c r="D105" s="535">
        <f>'PERKOMODITI 2024'!Q537</f>
        <v>0</v>
      </c>
      <c r="E105" s="482" t="s">
        <v>20</v>
      </c>
      <c r="F105" s="482" t="s">
        <v>20</v>
      </c>
      <c r="G105" s="498" t="s">
        <v>20</v>
      </c>
      <c r="H105" s="498" t="s">
        <v>20</v>
      </c>
      <c r="I105" s="482" t="s">
        <v>20</v>
      </c>
      <c r="J105" s="508" t="s">
        <v>20</v>
      </c>
      <c r="K105" s="515"/>
    </row>
    <row r="106" spans="2:11" ht="24.95" customHeight="1">
      <c r="B106" s="111">
        <v>16</v>
      </c>
      <c r="C106" s="485" t="s">
        <v>32</v>
      </c>
      <c r="D106" s="512" t="s">
        <v>20</v>
      </c>
      <c r="E106" s="512" t="s">
        <v>20</v>
      </c>
      <c r="F106" s="512" t="s">
        <v>20</v>
      </c>
      <c r="G106" s="512" t="s">
        <v>20</v>
      </c>
      <c r="H106" s="512" t="s">
        <v>20</v>
      </c>
      <c r="I106" s="512" t="s">
        <v>20</v>
      </c>
      <c r="J106" s="516" t="s">
        <v>20</v>
      </c>
      <c r="K106" s="517"/>
    </row>
    <row r="107" spans="2:11" ht="18" customHeight="1">
      <c r="B107" s="2"/>
      <c r="C107" s="2"/>
      <c r="K107" s="2"/>
    </row>
    <row r="108" spans="2:11" ht="20.25" customHeight="1">
      <c r="B108" s="2"/>
      <c r="C108" s="2"/>
      <c r="H108" s="489" t="s">
        <v>12</v>
      </c>
      <c r="I108" s="636" t="s">
        <v>33</v>
      </c>
      <c r="J108" s="636"/>
      <c r="K108" s="636"/>
    </row>
    <row r="109" spans="2:11" ht="21" customHeight="1">
      <c r="B109" s="2"/>
      <c r="C109" s="2"/>
      <c r="G109" s="491"/>
      <c r="H109" s="492" t="s">
        <v>13</v>
      </c>
      <c r="I109" s="636" t="s">
        <v>34</v>
      </c>
      <c r="J109" s="636"/>
      <c r="K109" s="636"/>
    </row>
    <row r="110" spans="2:11" ht="19.5" customHeight="1">
      <c r="B110" s="2"/>
      <c r="C110" s="2"/>
      <c r="H110" s="489" t="s">
        <v>14</v>
      </c>
      <c r="I110" s="636" t="s">
        <v>35</v>
      </c>
      <c r="J110" s="636"/>
      <c r="K110" s="636"/>
    </row>
    <row r="111" spans="2:11" ht="14.25" customHeight="1">
      <c r="H111" s="637"/>
      <c r="I111" s="637"/>
      <c r="J111" s="637"/>
      <c r="K111" s="637"/>
    </row>
    <row r="112" spans="2:11" ht="24.95" customHeight="1">
      <c r="C112" s="44" t="s">
        <v>36</v>
      </c>
      <c r="D112" s="494"/>
      <c r="E112" s="494"/>
      <c r="F112" s="494"/>
      <c r="H112" s="638"/>
      <c r="I112" s="638"/>
      <c r="J112" s="638"/>
      <c r="K112" s="638"/>
    </row>
    <row r="113" spans="2:11" ht="24.95" customHeight="1">
      <c r="C113" s="263"/>
      <c r="D113" s="494"/>
      <c r="E113" s="494"/>
      <c r="F113" s="494"/>
      <c r="H113" s="638"/>
      <c r="I113" s="638"/>
      <c r="J113" s="638"/>
      <c r="K113" s="638"/>
    </row>
    <row r="114" spans="2:11" ht="20.25" customHeight="1">
      <c r="C114" s="45"/>
      <c r="D114" s="494"/>
      <c r="E114" s="494"/>
      <c r="F114" s="494"/>
      <c r="H114" s="494"/>
      <c r="I114" s="494"/>
      <c r="J114" s="506"/>
      <c r="K114" s="45"/>
    </row>
    <row r="115" spans="2:11" ht="18" hidden="1" customHeight="1">
      <c r="C115" s="45"/>
      <c r="D115" s="494"/>
      <c r="E115" s="494"/>
      <c r="F115" s="494"/>
      <c r="H115" s="494"/>
      <c r="I115" s="494"/>
      <c r="J115" s="506"/>
      <c r="K115" s="45"/>
    </row>
    <row r="116" spans="2:11" ht="24.95" customHeight="1">
      <c r="C116" s="495" t="s">
        <v>42</v>
      </c>
      <c r="D116" s="496"/>
      <c r="E116" s="496"/>
      <c r="F116" s="496"/>
      <c r="H116" s="653"/>
      <c r="I116" s="653"/>
      <c r="J116" s="653"/>
      <c r="K116" s="653"/>
    </row>
    <row r="117" spans="2:11" ht="15.75" customHeight="1">
      <c r="C117" s="266"/>
      <c r="H117" s="650"/>
      <c r="I117" s="637"/>
      <c r="J117" s="637"/>
      <c r="K117" s="637"/>
    </row>
    <row r="118" spans="2:11" ht="15.75" customHeight="1">
      <c r="C118" s="266"/>
      <c r="H118" s="47"/>
      <c r="I118" s="48"/>
      <c r="J118" s="48"/>
      <c r="K118" s="48"/>
    </row>
    <row r="119" spans="2:11" ht="15" customHeight="1"/>
    <row r="120" spans="2:11" ht="24.95" customHeight="1">
      <c r="B120" s="632" t="s">
        <v>0</v>
      </c>
      <c r="C120" s="632"/>
      <c r="D120" s="632"/>
      <c r="E120" s="632"/>
      <c r="F120" s="632"/>
      <c r="G120" s="632"/>
      <c r="H120" s="632"/>
      <c r="I120" s="632"/>
      <c r="J120" s="632"/>
      <c r="K120" s="632"/>
    </row>
    <row r="121" spans="2:11" ht="24.95" customHeight="1">
      <c r="B121" s="632" t="s">
        <v>1</v>
      </c>
      <c r="C121" s="632"/>
      <c r="D121" s="632"/>
      <c r="E121" s="632"/>
      <c r="F121" s="632"/>
      <c r="G121" s="632"/>
      <c r="H121" s="632"/>
      <c r="I121" s="632"/>
      <c r="J121" s="632"/>
      <c r="K121" s="632"/>
    </row>
    <row r="122" spans="2:11" ht="24.95" customHeight="1">
      <c r="B122" s="632" t="s">
        <v>313</v>
      </c>
      <c r="C122" s="632"/>
      <c r="D122" s="632"/>
      <c r="E122" s="632"/>
      <c r="F122" s="632"/>
      <c r="G122" s="632"/>
      <c r="H122" s="632"/>
      <c r="I122" s="632"/>
      <c r="J122" s="632"/>
      <c r="K122" s="632"/>
    </row>
    <row r="123" spans="2:11" ht="24.95" customHeight="1">
      <c r="B123" s="82"/>
      <c r="C123" s="82"/>
      <c r="D123" s="478"/>
      <c r="E123" s="478"/>
      <c r="F123" s="478"/>
      <c r="G123" s="478"/>
      <c r="H123" s="478"/>
      <c r="I123" s="478"/>
      <c r="J123" s="296"/>
      <c r="K123" s="82"/>
    </row>
    <row r="124" spans="2:11" ht="24.95" customHeight="1">
      <c r="B124" t="s">
        <v>2</v>
      </c>
      <c r="D124" s="477" t="s">
        <v>43</v>
      </c>
    </row>
    <row r="125" spans="2:11" ht="24.95" customHeight="1"/>
    <row r="126" spans="2:11" ht="24.95" customHeight="1">
      <c r="B126" s="657" t="s">
        <v>4</v>
      </c>
      <c r="C126" s="654" t="s">
        <v>5</v>
      </c>
      <c r="D126" s="633" t="s">
        <v>6</v>
      </c>
      <c r="E126" s="634"/>
      <c r="F126" s="635"/>
      <c r="G126" s="639" t="s">
        <v>7</v>
      </c>
      <c r="H126" s="639" t="s">
        <v>8</v>
      </c>
      <c r="I126" s="639" t="s">
        <v>9</v>
      </c>
      <c r="J126" s="642" t="s">
        <v>10</v>
      </c>
      <c r="K126" s="645" t="s">
        <v>11</v>
      </c>
    </row>
    <row r="127" spans="2:11" ht="24.95" customHeight="1">
      <c r="B127" s="658"/>
      <c r="C127" s="655"/>
      <c r="D127" s="651" t="s">
        <v>12</v>
      </c>
      <c r="E127" s="630" t="s">
        <v>13</v>
      </c>
      <c r="F127" s="628" t="s">
        <v>14</v>
      </c>
      <c r="G127" s="640"/>
      <c r="H127" s="640"/>
      <c r="I127" s="640"/>
      <c r="J127" s="643"/>
      <c r="K127" s="646"/>
    </row>
    <row r="128" spans="2:11" ht="24.95" customHeight="1">
      <c r="B128" s="659"/>
      <c r="C128" s="656"/>
      <c r="D128" s="652"/>
      <c r="E128" s="631"/>
      <c r="F128" s="629"/>
      <c r="G128" s="641"/>
      <c r="H128" s="641"/>
      <c r="I128" s="641"/>
      <c r="J128" s="644"/>
      <c r="K128" s="647"/>
    </row>
    <row r="129" spans="2:16" ht="24.95" customHeight="1">
      <c r="B129" s="300">
        <v>1</v>
      </c>
      <c r="C129" s="301">
        <v>2</v>
      </c>
      <c r="D129" s="479">
        <v>3</v>
      </c>
      <c r="E129" s="479">
        <v>4</v>
      </c>
      <c r="F129" s="479">
        <v>5</v>
      </c>
      <c r="G129" s="479">
        <v>6</v>
      </c>
      <c r="H129" s="479">
        <v>7</v>
      </c>
      <c r="I129" s="479">
        <v>8</v>
      </c>
      <c r="J129" s="84">
        <v>9</v>
      </c>
      <c r="K129" s="333">
        <v>10</v>
      </c>
      <c r="L129" s="202"/>
    </row>
    <row r="130" spans="2:16" ht="24.95" customHeight="1">
      <c r="B130" s="134">
        <v>1</v>
      </c>
      <c r="C130" s="480" t="s">
        <v>15</v>
      </c>
      <c r="D130" s="497">
        <f>'PERKOMODITI 2024'!C13</f>
        <v>0</v>
      </c>
      <c r="E130" s="497">
        <f>'PERKOMODITI 2024'!D13</f>
        <v>20</v>
      </c>
      <c r="F130" s="497">
        <f>'PERKOMODITI 2024'!E13</f>
        <v>18</v>
      </c>
      <c r="G130" s="497">
        <f>'PERKOMODITI 2024'!F13</f>
        <v>38</v>
      </c>
      <c r="H130" s="497">
        <f>'PERKOMODITI 2024'!G13</f>
        <v>18.060000000000002</v>
      </c>
      <c r="I130" s="497">
        <f>'PERKOMODITI 2024'!H13</f>
        <v>903</v>
      </c>
      <c r="J130" s="497">
        <f>'PERKOMODITI 2024'!I13</f>
        <v>179</v>
      </c>
      <c r="K130" s="363"/>
      <c r="P130" s="500" t="s">
        <v>18</v>
      </c>
    </row>
    <row r="131" spans="2:16" ht="24.95" customHeight="1">
      <c r="B131" s="26">
        <v>2</v>
      </c>
      <c r="C131" s="90" t="s">
        <v>16</v>
      </c>
      <c r="D131" s="482">
        <f>'PERKOMODITI 2024'!C60</f>
        <v>1602</v>
      </c>
      <c r="E131" s="482">
        <f>'PERKOMODITI 2024'!D60</f>
        <v>2800</v>
      </c>
      <c r="F131" s="482">
        <f>'PERKOMODITI 2024'!E60</f>
        <v>172.5</v>
      </c>
      <c r="G131" s="482">
        <f>'PERKOMODITI 2024'!F60</f>
        <v>4574.5</v>
      </c>
      <c r="H131" s="482">
        <f>'PERKOMODITI 2024'!G60</f>
        <v>9676.7999999999993</v>
      </c>
      <c r="I131" s="482">
        <f>'PERKOMODITI 2024'!H60</f>
        <v>3456</v>
      </c>
      <c r="J131" s="482">
        <f>'PERKOMODITI 2024'!I60</f>
        <v>1469</v>
      </c>
      <c r="K131" s="291"/>
    </row>
    <row r="132" spans="2:16" ht="24.95" customHeight="1">
      <c r="B132" s="26">
        <v>3</v>
      </c>
      <c r="C132" s="90" t="s">
        <v>17</v>
      </c>
      <c r="D132" s="482">
        <f>'PERKOMODITI 2024'!C190</f>
        <v>0</v>
      </c>
      <c r="E132" s="482">
        <f>'PERKOMODITI 2024'!D190</f>
        <v>23</v>
      </c>
      <c r="F132" s="482">
        <f>'PERKOMODITI 2024'!E190</f>
        <v>4</v>
      </c>
      <c r="G132" s="482">
        <f>'PERKOMODITI 2024'!F190</f>
        <v>27</v>
      </c>
      <c r="H132" s="482">
        <f>'PERKOMODITI 2024'!G190</f>
        <v>20.7</v>
      </c>
      <c r="I132" s="482">
        <f>'PERKOMODITI 2024'!H190</f>
        <v>900</v>
      </c>
      <c r="J132" s="482">
        <f>'PERKOMODITI 2024'!I190</f>
        <v>765</v>
      </c>
      <c r="K132" s="291"/>
    </row>
    <row r="133" spans="2:16" ht="24.95" customHeight="1">
      <c r="B133" s="26">
        <v>4</v>
      </c>
      <c r="C133" s="90" t="s">
        <v>19</v>
      </c>
      <c r="D133" s="482">
        <f>'PERKOMODITI 2024'!C283</f>
        <v>0</v>
      </c>
      <c r="E133" s="482">
        <f>'PERKOMODITI 2024'!D283</f>
        <v>0</v>
      </c>
      <c r="F133" s="482">
        <f>'PERKOMODITI 2024'!E283</f>
        <v>0</v>
      </c>
      <c r="G133" s="482">
        <f>'PERKOMODITI 2024'!F283</f>
        <v>0</v>
      </c>
      <c r="H133" s="482">
        <f>'PERKOMODITI 2024'!G283</f>
        <v>0</v>
      </c>
      <c r="I133" s="482">
        <f>'PERKOMODITI 2024'!H283</f>
        <v>0</v>
      </c>
      <c r="J133" s="482">
        <f>'PERKOMODITI 2024'!I283</f>
        <v>0</v>
      </c>
      <c r="K133" s="291"/>
    </row>
    <row r="134" spans="2:16" ht="24.95" customHeight="1">
      <c r="B134" s="26">
        <v>5</v>
      </c>
      <c r="C134" s="90" t="s">
        <v>21</v>
      </c>
      <c r="D134" s="482">
        <f>'PERKOMODITI 2024'!C143</f>
        <v>0</v>
      </c>
      <c r="E134" s="482">
        <f>'PERKOMODITI 2024'!D143</f>
        <v>16</v>
      </c>
      <c r="F134" s="482">
        <f>'PERKOMODITI 2024'!E143</f>
        <v>6</v>
      </c>
      <c r="G134" s="482">
        <f>'PERKOMODITI 2024'!F143</f>
        <v>22</v>
      </c>
      <c r="H134" s="482">
        <f>'PERKOMODITI 2024'!G143</f>
        <v>6.4</v>
      </c>
      <c r="I134" s="482">
        <f>'PERKOMODITI 2024'!H143</f>
        <v>400</v>
      </c>
      <c r="J134" s="482">
        <f>'PERKOMODITI 2024'!I143</f>
        <v>214</v>
      </c>
      <c r="K134" s="291"/>
    </row>
    <row r="135" spans="2:16" ht="24.95" customHeight="1">
      <c r="B135" s="26">
        <v>6</v>
      </c>
      <c r="C135" s="90" t="s">
        <v>22</v>
      </c>
      <c r="D135" s="482">
        <f>'PERKOMODITI 2024'!C416</f>
        <v>0</v>
      </c>
      <c r="E135" s="482">
        <f>'PERKOMODITI 2024'!D416</f>
        <v>0</v>
      </c>
      <c r="F135" s="482">
        <f>'PERKOMODITI 2024'!E416</f>
        <v>0</v>
      </c>
      <c r="G135" s="482">
        <f>'PERKOMODITI 2024'!F416</f>
        <v>0</v>
      </c>
      <c r="H135" s="482">
        <f>'PERKOMODITI 2024'!G416</f>
        <v>0</v>
      </c>
      <c r="I135" s="482">
        <f>'PERKOMODITI 2024'!H416</f>
        <v>0</v>
      </c>
      <c r="J135" s="482">
        <f>'PERKOMODITI 2024'!I416</f>
        <v>0</v>
      </c>
      <c r="K135" s="291"/>
    </row>
    <row r="136" spans="2:16" ht="24.95" customHeight="1">
      <c r="B136" s="26">
        <v>7</v>
      </c>
      <c r="C136" s="90" t="s">
        <v>23</v>
      </c>
      <c r="D136" s="482">
        <f>'PERKOMODITI 2024'!C98</f>
        <v>0</v>
      </c>
      <c r="E136" s="482">
        <f>'PERKOMODITI 2024'!D98</f>
        <v>6</v>
      </c>
      <c r="F136" s="482">
        <f>'PERKOMODITI 2024'!E98</f>
        <v>2</v>
      </c>
      <c r="G136" s="482">
        <f>'PERKOMODITI 2024'!F98</f>
        <v>8</v>
      </c>
      <c r="H136" s="482">
        <f>'PERKOMODITI 2024'!G98</f>
        <v>5.2080000000000002</v>
      </c>
      <c r="I136" s="482">
        <f>'PERKOMODITI 2024'!H98</f>
        <v>868</v>
      </c>
      <c r="J136" s="482">
        <f>'PERKOMODITI 2024'!I98</f>
        <v>178</v>
      </c>
      <c r="K136" s="363"/>
    </row>
    <row r="137" spans="2:16" ht="24.95" customHeight="1">
      <c r="B137" s="26">
        <v>8</v>
      </c>
      <c r="C137" s="90" t="s">
        <v>24</v>
      </c>
      <c r="D137" s="482" t="str">
        <f>'PERKOMODITI 2024'!C453</f>
        <v>-</v>
      </c>
      <c r="E137" s="482" t="str">
        <f>'PERKOMODITI 2024'!D453</f>
        <v>-</v>
      </c>
      <c r="F137" s="482">
        <f>'PERKOMODITI 2024'!E453</f>
        <v>0</v>
      </c>
      <c r="G137" s="482" t="str">
        <f>'PERKOMODITI 2024'!F453</f>
        <v>-</v>
      </c>
      <c r="H137" s="482" t="str">
        <f>'PERKOMODITI 2024'!G453</f>
        <v>-</v>
      </c>
      <c r="I137" s="482" t="str">
        <f>'PERKOMODITI 2024'!H453</f>
        <v>-</v>
      </c>
      <c r="J137" s="482" t="str">
        <f>'PERKOMODITI 2024'!I453</f>
        <v>-</v>
      </c>
      <c r="K137" s="291"/>
    </row>
    <row r="138" spans="2:16" ht="24.95" customHeight="1">
      <c r="B138" s="26">
        <v>9</v>
      </c>
      <c r="C138" s="90" t="s">
        <v>25</v>
      </c>
      <c r="D138" s="482">
        <f>'PERKOMODITI 2024'!C373</f>
        <v>0</v>
      </c>
      <c r="E138" s="482">
        <f>'PERKOMODITI 2024'!D373</f>
        <v>0</v>
      </c>
      <c r="F138" s="482">
        <f>'PERKOMODITI 2024'!E373</f>
        <v>0</v>
      </c>
      <c r="G138" s="482">
        <f>'PERKOMODITI 2024'!F373</f>
        <v>0</v>
      </c>
      <c r="H138" s="482">
        <f>'PERKOMODITI 2024'!G373</f>
        <v>0</v>
      </c>
      <c r="I138" s="482">
        <f>'PERKOMODITI 2024'!H373</f>
        <v>0</v>
      </c>
      <c r="J138" s="482">
        <f>'PERKOMODITI 2024'!I373</f>
        <v>0</v>
      </c>
      <c r="K138" s="291"/>
    </row>
    <row r="139" spans="2:16" ht="24.95" customHeight="1">
      <c r="B139" s="26">
        <v>10</v>
      </c>
      <c r="C139" s="90" t="s">
        <v>26</v>
      </c>
      <c r="D139" s="482">
        <f>'PERKOMODITI 2024'!C237</f>
        <v>0</v>
      </c>
      <c r="E139" s="482">
        <f>'PERKOMODITI 2024'!D237</f>
        <v>0</v>
      </c>
      <c r="F139" s="482">
        <f>'PERKOMODITI 2024'!E237</f>
        <v>0</v>
      </c>
      <c r="G139" s="482">
        <f>'PERKOMODITI 2024'!F237</f>
        <v>0</v>
      </c>
      <c r="H139" s="482">
        <f>'PERKOMODITI 2024'!G237</f>
        <v>0</v>
      </c>
      <c r="I139" s="482">
        <f>'PERKOMODITI 2024'!H237</f>
        <v>0</v>
      </c>
      <c r="J139" s="482">
        <f>'PERKOMODITI 2024'!I237</f>
        <v>0</v>
      </c>
      <c r="K139" s="518"/>
    </row>
    <row r="140" spans="2:16" ht="24.95" customHeight="1">
      <c r="B140" s="26">
        <v>11</v>
      </c>
      <c r="C140" s="90" t="s">
        <v>27</v>
      </c>
      <c r="D140" s="482">
        <f>'PERKOMODITI 2024'!C328</f>
        <v>0</v>
      </c>
      <c r="E140" s="482">
        <f>'PERKOMODITI 2024'!D328</f>
        <v>0</v>
      </c>
      <c r="F140" s="482">
        <f>'PERKOMODITI 2024'!E328</f>
        <v>0</v>
      </c>
      <c r="G140" s="482">
        <f>'PERKOMODITI 2024'!F328</f>
        <v>0</v>
      </c>
      <c r="H140" s="482">
        <f>'PERKOMODITI 2024'!G328</f>
        <v>0</v>
      </c>
      <c r="I140" s="482">
        <f>'PERKOMODITI 2024'!H328</f>
        <v>0</v>
      </c>
      <c r="J140" s="482">
        <f>'PERKOMODITI 2024'!I328</f>
        <v>0</v>
      </c>
      <c r="K140" s="291"/>
    </row>
    <row r="141" spans="2:16" ht="24.95" customHeight="1">
      <c r="B141" s="26">
        <v>12</v>
      </c>
      <c r="C141" s="105" t="s">
        <v>28</v>
      </c>
      <c r="D141" s="482">
        <f>'PERKOMODITI 2024'!C491</f>
        <v>0</v>
      </c>
      <c r="E141" s="482">
        <f>'PERKOMODITI 2024'!D491</f>
        <v>0</v>
      </c>
      <c r="F141" s="482">
        <f>'PERKOMODITI 2024'!E491</f>
        <v>0</v>
      </c>
      <c r="G141" s="482">
        <f>'PERKOMODITI 2024'!F491</f>
        <v>0</v>
      </c>
      <c r="H141" s="482">
        <f>'PERKOMODITI 2024'!G491</f>
        <v>0</v>
      </c>
      <c r="I141" s="482">
        <f>'PERKOMODITI 2024'!H491</f>
        <v>0</v>
      </c>
      <c r="J141" s="482">
        <f>'PERKOMODITI 2024'!I491</f>
        <v>0</v>
      </c>
      <c r="K141" s="126"/>
    </row>
    <row r="142" spans="2:16" ht="24.95" customHeight="1">
      <c r="B142" s="26">
        <v>13</v>
      </c>
      <c r="C142" s="90" t="s">
        <v>29</v>
      </c>
      <c r="D142" s="482">
        <f>'PERKOMODITI 2024'!C536</f>
        <v>0</v>
      </c>
      <c r="E142" s="482">
        <f>'PERKOMODITI 2024'!D536</f>
        <v>0</v>
      </c>
      <c r="F142" s="482">
        <f>'PERKOMODITI 2024'!E536</f>
        <v>0</v>
      </c>
      <c r="G142" s="482">
        <f>'PERKOMODITI 2024'!F536</f>
        <v>0</v>
      </c>
      <c r="H142" s="482">
        <f>'PERKOMODITI 2024'!G536</f>
        <v>0</v>
      </c>
      <c r="I142" s="482">
        <f>'PERKOMODITI 2024'!H536</f>
        <v>0</v>
      </c>
      <c r="J142" s="482">
        <f>'PERKOMODITI 2024'!I536</f>
        <v>0</v>
      </c>
      <c r="K142" s="291"/>
    </row>
    <row r="143" spans="2:16" ht="24.95" customHeight="1">
      <c r="B143" s="26">
        <v>14</v>
      </c>
      <c r="C143" s="483" t="s">
        <v>30</v>
      </c>
      <c r="D143" s="482">
        <f>'PERKOMODITI 2024'!C573</f>
        <v>0</v>
      </c>
      <c r="E143" s="482">
        <f>'PERKOMODITI 2024'!D573</f>
        <v>0</v>
      </c>
      <c r="F143" s="482">
        <f>'PERKOMODITI 2024'!E573</f>
        <v>1</v>
      </c>
      <c r="G143" s="482">
        <f>'PERKOMODITI 2024'!F573</f>
        <v>1</v>
      </c>
      <c r="H143" s="482">
        <f>'PERKOMODITI 2024'!G573</f>
        <v>0</v>
      </c>
      <c r="I143" s="482">
        <f>'PERKOMODITI 2024'!H573</f>
        <v>0</v>
      </c>
      <c r="J143" s="482">
        <f>'PERKOMODITI 2024'!I573</f>
        <v>12</v>
      </c>
      <c r="K143" s="291"/>
    </row>
    <row r="144" spans="2:16" ht="24.95" customHeight="1">
      <c r="B144" s="26">
        <v>15</v>
      </c>
      <c r="C144" s="483" t="s">
        <v>31</v>
      </c>
      <c r="D144" s="482">
        <f>'PERKOMODITI 2024'!C612</f>
        <v>0</v>
      </c>
      <c r="E144" s="482">
        <f>'PERKOMODITI 2024'!D612</f>
        <v>0</v>
      </c>
      <c r="F144" s="482">
        <f>'PERKOMODITI 2024'!E612</f>
        <v>0</v>
      </c>
      <c r="G144" s="482">
        <f>'PERKOMODITI 2024'!F612</f>
        <v>0</v>
      </c>
      <c r="H144" s="482">
        <f>'PERKOMODITI 2024'!G612</f>
        <v>0</v>
      </c>
      <c r="I144" s="482">
        <f>'PERKOMODITI 2024'!H612</f>
        <v>0</v>
      </c>
      <c r="J144" s="482">
        <f>'PERKOMODITI 2024'!I612</f>
        <v>0</v>
      </c>
      <c r="K144" s="291"/>
    </row>
    <row r="145" spans="2:11" ht="24.95" customHeight="1">
      <c r="B145" s="111">
        <v>16</v>
      </c>
      <c r="C145" s="485" t="s">
        <v>32</v>
      </c>
      <c r="D145" s="512">
        <f>'PERKOMODITI 2024'!C647</f>
        <v>0</v>
      </c>
      <c r="E145" s="512">
        <f>'PERKOMODITI 2024'!D647</f>
        <v>0</v>
      </c>
      <c r="F145" s="512">
        <f>'PERKOMODITI 2024'!E647</f>
        <v>0</v>
      </c>
      <c r="G145" s="512">
        <f>'PERKOMODITI 2024'!F647</f>
        <v>0</v>
      </c>
      <c r="H145" s="512">
        <f>'PERKOMODITI 2024'!G647</f>
        <v>0</v>
      </c>
      <c r="I145" s="512">
        <f>'PERKOMODITI 2024'!H647</f>
        <v>0</v>
      </c>
      <c r="J145" s="512">
        <f>'PERKOMODITI 2024'!I647</f>
        <v>0</v>
      </c>
      <c r="K145" s="503"/>
    </row>
    <row r="146" spans="2:11" ht="24.95" customHeight="1"/>
    <row r="147" spans="2:11" ht="19.5" customHeight="1">
      <c r="H147" s="489" t="s">
        <v>12</v>
      </c>
      <c r="I147" s="636" t="s">
        <v>33</v>
      </c>
      <c r="J147" s="636"/>
      <c r="K147" s="636"/>
    </row>
    <row r="148" spans="2:11" ht="19.5" customHeight="1">
      <c r="H148" s="492" t="s">
        <v>13</v>
      </c>
      <c r="I148" s="636" t="s">
        <v>34</v>
      </c>
      <c r="J148" s="636"/>
      <c r="K148" s="636"/>
    </row>
    <row r="149" spans="2:11" ht="19.5" customHeight="1">
      <c r="H149" s="489" t="s">
        <v>14</v>
      </c>
      <c r="I149" s="636" t="s">
        <v>35</v>
      </c>
      <c r="J149" s="636"/>
      <c r="K149" s="636"/>
    </row>
    <row r="150" spans="2:11" ht="11.25" customHeight="1">
      <c r="H150" s="637"/>
      <c r="I150" s="637"/>
      <c r="J150" s="637"/>
      <c r="K150" s="637"/>
    </row>
    <row r="151" spans="2:11" ht="24.95" customHeight="1">
      <c r="C151" s="44" t="s">
        <v>36</v>
      </c>
      <c r="D151" s="494"/>
      <c r="E151" s="494"/>
      <c r="F151" s="494"/>
      <c r="H151" s="638"/>
      <c r="I151" s="638"/>
      <c r="J151" s="638"/>
      <c r="K151" s="638"/>
    </row>
    <row r="152" spans="2:11" ht="24.95" customHeight="1">
      <c r="C152" s="263"/>
      <c r="D152" s="494"/>
      <c r="E152" s="494"/>
      <c r="F152" s="494"/>
      <c r="H152" s="638"/>
      <c r="I152" s="638"/>
      <c r="J152" s="638"/>
      <c r="K152" s="638"/>
    </row>
    <row r="153" spans="2:11" ht="17.25" customHeight="1">
      <c r="C153" s="45"/>
      <c r="D153" s="494"/>
      <c r="E153" s="494"/>
      <c r="F153" s="494"/>
      <c r="H153" s="494"/>
      <c r="I153" s="494"/>
      <c r="J153" s="506"/>
      <c r="K153" s="45"/>
    </row>
    <row r="154" spans="2:11" ht="24.75" hidden="1" customHeight="1">
      <c r="C154" s="45"/>
      <c r="D154" s="494"/>
      <c r="E154" s="494"/>
      <c r="F154" s="494"/>
      <c r="H154" s="494"/>
      <c r="I154" s="494"/>
      <c r="J154" s="506"/>
      <c r="K154" s="45"/>
    </row>
    <row r="155" spans="2:11" ht="21.75" customHeight="1">
      <c r="C155" s="495" t="s">
        <v>44</v>
      </c>
      <c r="D155" s="496"/>
      <c r="E155" s="496"/>
      <c r="F155" s="496"/>
      <c r="H155" s="653"/>
      <c r="I155" s="653"/>
      <c r="J155" s="653"/>
      <c r="K155" s="653"/>
    </row>
    <row r="156" spans="2:11" ht="16.5" customHeight="1">
      <c r="C156" s="495"/>
      <c r="D156" s="496"/>
      <c r="E156" s="496"/>
      <c r="F156" s="496"/>
      <c r="H156" s="650"/>
      <c r="I156" s="637"/>
      <c r="J156" s="637"/>
      <c r="K156" s="637"/>
    </row>
    <row r="157" spans="2:11" ht="33.75" customHeight="1">
      <c r="C157" s="495"/>
      <c r="D157" s="496"/>
      <c r="E157" s="496"/>
      <c r="F157" s="496"/>
      <c r="H157" s="47"/>
      <c r="I157" s="48"/>
      <c r="J157" s="48"/>
      <c r="K157" s="48"/>
    </row>
    <row r="158" spans="2:11" ht="24.95" customHeight="1">
      <c r="B158" s="632" t="s">
        <v>0</v>
      </c>
      <c r="C158" s="632"/>
      <c r="D158" s="632"/>
      <c r="E158" s="632"/>
      <c r="F158" s="632"/>
      <c r="G158" s="632"/>
      <c r="H158" s="632"/>
      <c r="I158" s="632"/>
      <c r="J158" s="632"/>
      <c r="K158" s="632"/>
    </row>
    <row r="159" spans="2:11" ht="24.95" customHeight="1">
      <c r="B159" s="632" t="s">
        <v>1</v>
      </c>
      <c r="C159" s="632"/>
      <c r="D159" s="632"/>
      <c r="E159" s="632"/>
      <c r="F159" s="632"/>
      <c r="G159" s="632"/>
      <c r="H159" s="632"/>
      <c r="I159" s="632"/>
      <c r="J159" s="632"/>
      <c r="K159" s="632"/>
    </row>
    <row r="160" spans="2:11" ht="24.95" customHeight="1">
      <c r="B160" s="632" t="s">
        <v>313</v>
      </c>
      <c r="C160" s="632"/>
      <c r="D160" s="632"/>
      <c r="E160" s="632"/>
      <c r="F160" s="632"/>
      <c r="G160" s="632"/>
      <c r="H160" s="632"/>
      <c r="I160" s="632"/>
      <c r="J160" s="632"/>
      <c r="K160" s="632"/>
    </row>
    <row r="161" spans="2:12" ht="24.95" customHeight="1">
      <c r="B161" s="82"/>
      <c r="C161" s="82"/>
      <c r="D161" s="478"/>
      <c r="E161" s="478"/>
      <c r="F161" s="478"/>
      <c r="G161" s="478"/>
      <c r="H161" s="478"/>
      <c r="I161" s="478"/>
      <c r="J161" s="296"/>
      <c r="K161" s="82"/>
    </row>
    <row r="162" spans="2:12" ht="24.95" customHeight="1">
      <c r="B162" t="s">
        <v>2</v>
      </c>
      <c r="D162" s="477" t="s">
        <v>45</v>
      </c>
    </row>
    <row r="163" spans="2:12" ht="24.95" customHeight="1"/>
    <row r="164" spans="2:12" ht="24.95" customHeight="1">
      <c r="B164" s="657" t="s">
        <v>4</v>
      </c>
      <c r="C164" s="654" t="s">
        <v>5</v>
      </c>
      <c r="D164" s="633" t="s">
        <v>6</v>
      </c>
      <c r="E164" s="634"/>
      <c r="F164" s="635"/>
      <c r="G164" s="639" t="s">
        <v>7</v>
      </c>
      <c r="H164" s="639" t="s">
        <v>8</v>
      </c>
      <c r="I164" s="639" t="s">
        <v>9</v>
      </c>
      <c r="J164" s="642" t="s">
        <v>10</v>
      </c>
      <c r="K164" s="645" t="s">
        <v>11</v>
      </c>
    </row>
    <row r="165" spans="2:12" ht="24.95" customHeight="1">
      <c r="B165" s="658"/>
      <c r="C165" s="655"/>
      <c r="D165" s="651" t="s">
        <v>12</v>
      </c>
      <c r="E165" s="630" t="s">
        <v>13</v>
      </c>
      <c r="F165" s="628" t="s">
        <v>14</v>
      </c>
      <c r="G165" s="640"/>
      <c r="H165" s="640"/>
      <c r="I165" s="640"/>
      <c r="J165" s="643"/>
      <c r="K165" s="646"/>
    </row>
    <row r="166" spans="2:12" ht="24.95" customHeight="1">
      <c r="B166" s="659"/>
      <c r="C166" s="656"/>
      <c r="D166" s="652"/>
      <c r="E166" s="631"/>
      <c r="F166" s="629"/>
      <c r="G166" s="641"/>
      <c r="H166" s="641"/>
      <c r="I166" s="641"/>
      <c r="J166" s="644"/>
      <c r="K166" s="647"/>
    </row>
    <row r="167" spans="2:12" ht="24.95" customHeight="1">
      <c r="B167" s="300">
        <v>1</v>
      </c>
      <c r="C167" s="301">
        <v>2</v>
      </c>
      <c r="D167" s="479">
        <v>3</v>
      </c>
      <c r="E167" s="479">
        <v>4</v>
      </c>
      <c r="F167" s="479">
        <v>5</v>
      </c>
      <c r="G167" s="479">
        <v>6</v>
      </c>
      <c r="H167" s="479">
        <v>7</v>
      </c>
      <c r="I167" s="479">
        <v>8</v>
      </c>
      <c r="J167" s="84">
        <v>9</v>
      </c>
      <c r="K167" s="333">
        <v>10</v>
      </c>
      <c r="L167" s="202"/>
    </row>
    <row r="168" spans="2:12" ht="24.95" customHeight="1">
      <c r="B168" s="134">
        <v>1</v>
      </c>
      <c r="C168" s="480" t="s">
        <v>15</v>
      </c>
      <c r="D168" s="497">
        <f>'PERKOMODITI 2024'!C14</f>
        <v>29</v>
      </c>
      <c r="E168" s="497">
        <f>'PERKOMODITI 2024'!D14</f>
        <v>132</v>
      </c>
      <c r="F168" s="497">
        <f>'PERKOMODITI 2024'!E14</f>
        <v>93</v>
      </c>
      <c r="G168" s="497">
        <f>'PERKOMODITI 2024'!F14</f>
        <v>254</v>
      </c>
      <c r="H168" s="497">
        <f>'PERKOMODITI 2024'!G14</f>
        <v>119.196</v>
      </c>
      <c r="I168" s="497">
        <f>'PERKOMODITI 2024'!H14</f>
        <v>903</v>
      </c>
      <c r="J168" s="497">
        <f>'PERKOMODITI 2024'!I14</f>
        <v>346</v>
      </c>
      <c r="K168" s="388"/>
    </row>
    <row r="169" spans="2:12" ht="24.95" customHeight="1">
      <c r="B169" s="26">
        <v>2</v>
      </c>
      <c r="C169" s="90" t="s">
        <v>16</v>
      </c>
      <c r="D169" s="482">
        <f>'PERKOMODITI 2024'!C61</f>
        <v>649</v>
      </c>
      <c r="E169" s="482">
        <f>'PERKOMODITI 2024'!D61</f>
        <v>9101</v>
      </c>
      <c r="F169" s="482">
        <f>'PERKOMODITI 2024'!E61</f>
        <v>784</v>
      </c>
      <c r="G169" s="482">
        <f>'PERKOMODITI 2024'!F61</f>
        <v>10534</v>
      </c>
      <c r="H169" s="482">
        <f>'PERKOMODITI 2024'!G61</f>
        <v>31453.056</v>
      </c>
      <c r="I169" s="482">
        <f>'PERKOMODITI 2024'!H61</f>
        <v>3456</v>
      </c>
      <c r="J169" s="482">
        <f>'PERKOMODITI 2024'!I61</f>
        <v>3349</v>
      </c>
      <c r="K169" s="388"/>
    </row>
    <row r="170" spans="2:12" ht="24.95" customHeight="1">
      <c r="B170" s="26">
        <v>3</v>
      </c>
      <c r="C170" s="90" t="s">
        <v>17</v>
      </c>
      <c r="D170" s="482">
        <f>'PERKOMODITI 2024'!C191</f>
        <v>27</v>
      </c>
      <c r="E170" s="482">
        <f>'PERKOMODITI 2024'!D191</f>
        <v>256</v>
      </c>
      <c r="F170" s="482">
        <f>'PERKOMODITI 2024'!E191</f>
        <v>420</v>
      </c>
      <c r="G170" s="482">
        <f>'PERKOMODITI 2024'!F191</f>
        <v>703</v>
      </c>
      <c r="H170" s="482">
        <f>'PERKOMODITI 2024'!G191</f>
        <v>230.4</v>
      </c>
      <c r="I170" s="482">
        <f>'PERKOMODITI 2024'!H191</f>
        <v>900</v>
      </c>
      <c r="J170" s="482">
        <f>'PERKOMODITI 2024'!I191</f>
        <v>2600</v>
      </c>
      <c r="K170" s="515"/>
    </row>
    <row r="171" spans="2:12" ht="24.95" customHeight="1">
      <c r="B171" s="26">
        <v>4</v>
      </c>
      <c r="C171" s="90" t="s">
        <v>19</v>
      </c>
      <c r="D171" s="482">
        <f>'PERKOMODITI 2024'!C284</f>
        <v>0</v>
      </c>
      <c r="E171" s="482">
        <f>'PERKOMODITI 2024'!D284</f>
        <v>0</v>
      </c>
      <c r="F171" s="482">
        <f>'PERKOMODITI 2024'!E284</f>
        <v>0</v>
      </c>
      <c r="G171" s="482">
        <f>'PERKOMODITI 2024'!F284</f>
        <v>0</v>
      </c>
      <c r="H171" s="482">
        <f>'PERKOMODITI 2024'!G284</f>
        <v>0</v>
      </c>
      <c r="I171" s="482">
        <f>'PERKOMODITI 2024'!H284</f>
        <v>0</v>
      </c>
      <c r="J171" s="482">
        <f>'PERKOMODITI 2024'!I284</f>
        <v>0</v>
      </c>
      <c r="K171" s="515"/>
    </row>
    <row r="172" spans="2:12" ht="24.95" customHeight="1">
      <c r="B172" s="26">
        <v>5</v>
      </c>
      <c r="C172" s="90" t="s">
        <v>21</v>
      </c>
      <c r="D172" s="482">
        <f>'PERKOMODITI 2024'!C144</f>
        <v>13</v>
      </c>
      <c r="E172" s="482">
        <f>'PERKOMODITI 2024'!D144</f>
        <v>35</v>
      </c>
      <c r="F172" s="482">
        <f>'PERKOMODITI 2024'!E144</f>
        <v>42</v>
      </c>
      <c r="G172" s="482">
        <f>'PERKOMODITI 2024'!F144</f>
        <v>90</v>
      </c>
      <c r="H172" s="482">
        <f>'PERKOMODITI 2024'!G144</f>
        <v>14</v>
      </c>
      <c r="I172" s="482">
        <f>'PERKOMODITI 2024'!H144</f>
        <v>400</v>
      </c>
      <c r="J172" s="482">
        <f>'PERKOMODITI 2024'!I144</f>
        <v>370</v>
      </c>
      <c r="K172" s="515"/>
    </row>
    <row r="173" spans="2:12" ht="24.95" customHeight="1">
      <c r="B173" s="26">
        <v>6</v>
      </c>
      <c r="C173" s="90" t="s">
        <v>22</v>
      </c>
      <c r="D173" s="482">
        <f>'PERKOMODITI 2024'!C417</f>
        <v>3</v>
      </c>
      <c r="E173" s="482">
        <f>'PERKOMODITI 2024'!D417</f>
        <v>1</v>
      </c>
      <c r="F173" s="482">
        <f>'PERKOMODITI 2024'!E417</f>
        <v>22</v>
      </c>
      <c r="G173" s="482">
        <f>'PERKOMODITI 2024'!F417</f>
        <v>26</v>
      </c>
      <c r="H173" s="482">
        <f>'PERKOMODITI 2024'!G417</f>
        <v>0.21</v>
      </c>
      <c r="I173" s="482">
        <f>'PERKOMODITI 2024'!H417</f>
        <v>210</v>
      </c>
      <c r="J173" s="482">
        <f>'PERKOMODITI 2024'!I417</f>
        <v>104</v>
      </c>
      <c r="K173" s="515"/>
    </row>
    <row r="174" spans="2:12" ht="24.95" customHeight="1">
      <c r="B174" s="26">
        <v>7</v>
      </c>
      <c r="C174" s="90" t="s">
        <v>23</v>
      </c>
      <c r="D174" s="482">
        <f>'PERKOMODITI 2024'!C99</f>
        <v>8</v>
      </c>
      <c r="E174" s="482">
        <f>'PERKOMODITI 2024'!D99</f>
        <v>14</v>
      </c>
      <c r="F174" s="482">
        <f>'PERKOMODITI 2024'!E99</f>
        <v>7</v>
      </c>
      <c r="G174" s="482">
        <f>'PERKOMODITI 2024'!F99</f>
        <v>29</v>
      </c>
      <c r="H174" s="482">
        <f>'PERKOMODITI 2024'!G99</f>
        <v>12.151999999999999</v>
      </c>
      <c r="I174" s="482">
        <f>'PERKOMODITI 2024'!H99</f>
        <v>868</v>
      </c>
      <c r="J174" s="482">
        <f>'PERKOMODITI 2024'!I99</f>
        <v>52</v>
      </c>
      <c r="K174" s="388"/>
    </row>
    <row r="175" spans="2:12" ht="24.95" customHeight="1">
      <c r="B175" s="26">
        <v>8</v>
      </c>
      <c r="C175" s="90" t="s">
        <v>24</v>
      </c>
      <c r="D175" s="482">
        <f>'PERKOMODITI 2024'!C454</f>
        <v>5</v>
      </c>
      <c r="E175" s="482">
        <f>'PERKOMODITI 2024'!D454</f>
        <v>0</v>
      </c>
      <c r="F175" s="482">
        <f>'PERKOMODITI 2024'!E454</f>
        <v>0</v>
      </c>
      <c r="G175" s="482">
        <f>'PERKOMODITI 2024'!F454</f>
        <v>5</v>
      </c>
      <c r="H175" s="482">
        <f>'PERKOMODITI 2024'!G454</f>
        <v>0</v>
      </c>
      <c r="I175" s="482">
        <f>'PERKOMODITI 2024'!H454</f>
        <v>500</v>
      </c>
      <c r="J175" s="482">
        <f>'PERKOMODITI 2024'!I454</f>
        <v>14</v>
      </c>
      <c r="K175" s="515"/>
    </row>
    <row r="176" spans="2:12" ht="24.95" customHeight="1">
      <c r="B176" s="26">
        <v>9</v>
      </c>
      <c r="C176" s="90" t="s">
        <v>25</v>
      </c>
      <c r="D176" s="482">
        <f>'PERKOMODITI 2024'!C374</f>
        <v>0</v>
      </c>
      <c r="E176" s="482">
        <f>'PERKOMODITI 2024'!D374</f>
        <v>0</v>
      </c>
      <c r="F176" s="482">
        <f>'PERKOMODITI 2024'!E374</f>
        <v>20</v>
      </c>
      <c r="G176" s="482">
        <f>'PERKOMODITI 2024'!F374</f>
        <v>20</v>
      </c>
      <c r="H176" s="482">
        <f>'PERKOMODITI 2024'!G374</f>
        <v>0</v>
      </c>
      <c r="I176" s="482">
        <f>'PERKOMODITI 2024'!H374</f>
        <v>514</v>
      </c>
      <c r="J176" s="482">
        <f>'PERKOMODITI 2024'!I374</f>
        <v>47</v>
      </c>
      <c r="K176" s="515"/>
    </row>
    <row r="177" spans="2:11" ht="24.95" customHeight="1">
      <c r="B177" s="26">
        <v>10</v>
      </c>
      <c r="C177" s="90" t="s">
        <v>26</v>
      </c>
      <c r="D177" s="482">
        <f>'PERKOMODITI 2024'!C238</f>
        <v>14</v>
      </c>
      <c r="E177" s="482">
        <f>'PERKOMODITI 2024'!D238</f>
        <v>27</v>
      </c>
      <c r="F177" s="482">
        <f>'PERKOMODITI 2024'!E238</f>
        <v>0</v>
      </c>
      <c r="G177" s="482">
        <f>'PERKOMODITI 2024'!F238</f>
        <v>41</v>
      </c>
      <c r="H177" s="482">
        <f>'PERKOMODITI 2024'!G238</f>
        <v>10.098000000000001</v>
      </c>
      <c r="I177" s="482">
        <f>'PERKOMODITI 2024'!H238</f>
        <v>374</v>
      </c>
      <c r="J177" s="482">
        <f>'PERKOMODITI 2024'!I238</f>
        <v>198</v>
      </c>
      <c r="K177" s="515"/>
    </row>
    <row r="178" spans="2:11" ht="24.95" customHeight="1">
      <c r="B178" s="26">
        <v>11</v>
      </c>
      <c r="C178" s="90" t="s">
        <v>27</v>
      </c>
      <c r="D178" s="482">
        <f>'PERKOMODITI 2024'!C329</f>
        <v>3</v>
      </c>
      <c r="E178" s="482">
        <f>'PERKOMODITI 2024'!D329</f>
        <v>3</v>
      </c>
      <c r="F178" s="482">
        <f>'PERKOMODITI 2024'!E329</f>
        <v>7</v>
      </c>
      <c r="G178" s="482">
        <f>'PERKOMODITI 2024'!F329</f>
        <v>13</v>
      </c>
      <c r="H178" s="482">
        <f>'PERKOMODITI 2024'!G329</f>
        <v>0.45299999999999996</v>
      </c>
      <c r="I178" s="482">
        <f>'PERKOMODITI 2024'!H329</f>
        <v>151</v>
      </c>
      <c r="J178" s="482">
        <f>'PERKOMODITI 2024'!I329</f>
        <v>32</v>
      </c>
      <c r="K178" s="515"/>
    </row>
    <row r="179" spans="2:11" ht="24.95" customHeight="1">
      <c r="B179" s="26">
        <v>12</v>
      </c>
      <c r="C179" s="105" t="s">
        <v>28</v>
      </c>
      <c r="D179" s="482">
        <f>'PERKOMODITI 2024'!C492</f>
        <v>0</v>
      </c>
      <c r="E179" s="482">
        <f>'PERKOMODITI 2024'!D492</f>
        <v>0</v>
      </c>
      <c r="F179" s="482">
        <f>'PERKOMODITI 2024'!E492</f>
        <v>0</v>
      </c>
      <c r="G179" s="482">
        <f>'PERKOMODITI 2024'!F492</f>
        <v>0</v>
      </c>
      <c r="H179" s="482">
        <f>'PERKOMODITI 2024'!G492</f>
        <v>0</v>
      </c>
      <c r="I179" s="482">
        <f>'PERKOMODITI 2024'!H492</f>
        <v>0</v>
      </c>
      <c r="J179" s="482">
        <f>'PERKOMODITI 2024'!I492</f>
        <v>0</v>
      </c>
      <c r="K179" s="126"/>
    </row>
    <row r="180" spans="2:11" ht="24.95" customHeight="1">
      <c r="B180" s="26">
        <v>13</v>
      </c>
      <c r="C180" s="90" t="s">
        <v>29</v>
      </c>
      <c r="D180" s="482">
        <f>'PERKOMODITI 2024'!C537</f>
        <v>0</v>
      </c>
      <c r="E180" s="482">
        <f>'PERKOMODITI 2024'!D537</f>
        <v>1</v>
      </c>
      <c r="F180" s="482">
        <f>'PERKOMODITI 2024'!E537</f>
        <v>2</v>
      </c>
      <c r="G180" s="482">
        <f>'PERKOMODITI 2024'!F537</f>
        <v>3</v>
      </c>
      <c r="H180" s="482">
        <f>'PERKOMODITI 2024'!G537</f>
        <v>0.3</v>
      </c>
      <c r="I180" s="482">
        <f>'PERKOMODITI 2024'!H537</f>
        <v>300</v>
      </c>
      <c r="J180" s="482">
        <f>'PERKOMODITI 2024'!I537</f>
        <v>12</v>
      </c>
      <c r="K180" s="515"/>
    </row>
    <row r="181" spans="2:11" ht="24.95" customHeight="1">
      <c r="B181" s="26">
        <v>14</v>
      </c>
      <c r="C181" s="483" t="s">
        <v>30</v>
      </c>
      <c r="D181" s="482">
        <f>'PERKOMODITI 2024'!C574</f>
        <v>0</v>
      </c>
      <c r="E181" s="482">
        <f>'PERKOMODITI 2024'!D574</f>
        <v>0</v>
      </c>
      <c r="F181" s="482">
        <f>'PERKOMODITI 2024'!E574</f>
        <v>11</v>
      </c>
      <c r="G181" s="482">
        <f>'PERKOMODITI 2024'!F574</f>
        <v>11</v>
      </c>
      <c r="H181" s="482">
        <f>'PERKOMODITI 2024'!G574</f>
        <v>0</v>
      </c>
      <c r="I181" s="482">
        <f>'PERKOMODITI 2024'!H574</f>
        <v>0</v>
      </c>
      <c r="J181" s="482">
        <f>'PERKOMODITI 2024'!I574</f>
        <v>96</v>
      </c>
      <c r="K181" s="515"/>
    </row>
    <row r="182" spans="2:11" ht="24.95" customHeight="1">
      <c r="B182" s="26">
        <v>15</v>
      </c>
      <c r="C182" s="483" t="s">
        <v>31</v>
      </c>
      <c r="D182" s="482">
        <f>'PERKOMODITI 2024'!C613</f>
        <v>0</v>
      </c>
      <c r="E182" s="482">
        <f>'PERKOMODITI 2024'!D613</f>
        <v>0</v>
      </c>
      <c r="F182" s="482">
        <f>'PERKOMODITI 2024'!E613</f>
        <v>0</v>
      </c>
      <c r="G182" s="482">
        <f>'PERKOMODITI 2024'!F613</f>
        <v>0</v>
      </c>
      <c r="H182" s="482">
        <f>'PERKOMODITI 2024'!G613</f>
        <v>0</v>
      </c>
      <c r="I182" s="482">
        <f>'PERKOMODITI 2024'!H613</f>
        <v>0</v>
      </c>
      <c r="J182" s="482">
        <f>'PERKOMODITI 2024'!I613</f>
        <v>0</v>
      </c>
      <c r="K182" s="515"/>
    </row>
    <row r="183" spans="2:11" ht="24.95" customHeight="1">
      <c r="B183" s="111">
        <v>16</v>
      </c>
      <c r="C183" s="485" t="s">
        <v>32</v>
      </c>
      <c r="D183" s="512">
        <f>'PERKOMODITI 2024'!C648</f>
        <v>3</v>
      </c>
      <c r="E183" s="512">
        <f>'PERKOMODITI 2024'!D648</f>
        <v>0</v>
      </c>
      <c r="F183" s="512">
        <f>'PERKOMODITI 2024'!E648</f>
        <v>0</v>
      </c>
      <c r="G183" s="512">
        <f>'PERKOMODITI 2024'!F648</f>
        <v>3</v>
      </c>
      <c r="H183" s="512">
        <f>'PERKOMODITI 2024'!G648</f>
        <v>0</v>
      </c>
      <c r="I183" s="512">
        <f>'PERKOMODITI 2024'!H648</f>
        <v>0</v>
      </c>
      <c r="J183" s="512">
        <f>'PERKOMODITI 2024'!I648</f>
        <v>7</v>
      </c>
      <c r="K183" s="517"/>
    </row>
    <row r="184" spans="2:11" ht="24.95" customHeight="1"/>
    <row r="185" spans="2:11" ht="18" customHeight="1">
      <c r="H185" s="489" t="s">
        <v>12</v>
      </c>
      <c r="I185" s="636" t="s">
        <v>33</v>
      </c>
      <c r="J185" s="636"/>
      <c r="K185" s="636"/>
    </row>
    <row r="186" spans="2:11" ht="18" customHeight="1">
      <c r="H186" s="492" t="s">
        <v>13</v>
      </c>
      <c r="I186" s="636" t="s">
        <v>34</v>
      </c>
      <c r="J186" s="636"/>
      <c r="K186" s="636"/>
    </row>
    <row r="187" spans="2:11" ht="18" customHeight="1">
      <c r="H187" s="489" t="s">
        <v>14</v>
      </c>
      <c r="I187" s="636" t="s">
        <v>35</v>
      </c>
      <c r="J187" s="636"/>
      <c r="K187" s="636"/>
    </row>
    <row r="188" spans="2:11" ht="21.75" customHeight="1">
      <c r="H188" s="637"/>
      <c r="I188" s="637"/>
      <c r="J188" s="637"/>
      <c r="K188" s="637"/>
    </row>
    <row r="189" spans="2:11" ht="24.95" customHeight="1">
      <c r="C189" s="44" t="s">
        <v>36</v>
      </c>
      <c r="D189" s="494"/>
      <c r="E189" s="494"/>
      <c r="F189" s="494"/>
      <c r="H189" s="638"/>
      <c r="I189" s="638"/>
      <c r="J189" s="638"/>
      <c r="K189" s="638"/>
    </row>
    <row r="190" spans="2:11" ht="16.5" customHeight="1">
      <c r="C190" s="263"/>
      <c r="D190" s="494"/>
      <c r="E190" s="494"/>
      <c r="F190" s="494"/>
      <c r="H190" s="638"/>
      <c r="I190" s="638"/>
      <c r="J190" s="638"/>
      <c r="K190" s="638"/>
    </row>
    <row r="191" spans="2:11" ht="17.25" customHeight="1">
      <c r="C191" s="45"/>
      <c r="D191" s="494"/>
      <c r="E191" s="494"/>
      <c r="F191" s="494"/>
      <c r="H191" s="494"/>
      <c r="I191" s="494"/>
      <c r="J191" s="506"/>
      <c r="K191" s="45"/>
    </row>
    <row r="192" spans="2:11" ht="15.75" customHeight="1">
      <c r="C192" s="45"/>
      <c r="D192" s="494"/>
      <c r="E192" s="494"/>
      <c r="F192" s="494"/>
      <c r="H192" s="494"/>
      <c r="I192" s="494"/>
      <c r="J192" s="506"/>
      <c r="K192" s="45"/>
    </row>
    <row r="193" spans="2:12" ht="24.95" customHeight="1">
      <c r="C193" s="495" t="s">
        <v>46</v>
      </c>
      <c r="D193" s="496"/>
      <c r="E193" s="496"/>
      <c r="F193" s="496"/>
      <c r="H193" s="653"/>
      <c r="I193" s="653"/>
      <c r="J193" s="653"/>
      <c r="K193" s="653"/>
    </row>
    <row r="194" spans="2:12" ht="16.5" customHeight="1">
      <c r="C194" s="495"/>
      <c r="D194" s="496"/>
      <c r="E194" s="496"/>
      <c r="F194" s="496"/>
      <c r="H194" s="650"/>
      <c r="I194" s="637"/>
      <c r="J194" s="637"/>
      <c r="K194" s="637"/>
    </row>
    <row r="195" spans="2:12" ht="12" customHeight="1">
      <c r="C195" s="495"/>
      <c r="D195" s="496"/>
      <c r="E195" s="496"/>
      <c r="F195" s="496"/>
      <c r="H195" s="47"/>
      <c r="I195" s="48"/>
      <c r="J195" s="48"/>
      <c r="K195" s="48"/>
    </row>
    <row r="196" spans="2:12" ht="24.95" customHeight="1">
      <c r="B196" s="632" t="s">
        <v>0</v>
      </c>
      <c r="C196" s="632"/>
      <c r="D196" s="632"/>
      <c r="E196" s="632"/>
      <c r="F196" s="632"/>
      <c r="G196" s="632"/>
      <c r="H196" s="632"/>
      <c r="I196" s="632"/>
      <c r="J196" s="632"/>
      <c r="K196" s="632"/>
    </row>
    <row r="197" spans="2:12" ht="24.95" customHeight="1">
      <c r="B197" s="632" t="s">
        <v>1</v>
      </c>
      <c r="C197" s="632"/>
      <c r="D197" s="632"/>
      <c r="E197" s="632"/>
      <c r="F197" s="632"/>
      <c r="G197" s="632"/>
      <c r="H197" s="632"/>
      <c r="I197" s="632"/>
      <c r="J197" s="632"/>
      <c r="K197" s="632"/>
    </row>
    <row r="198" spans="2:12" ht="24.95" customHeight="1">
      <c r="B198" s="632" t="s">
        <v>313</v>
      </c>
      <c r="C198" s="632"/>
      <c r="D198" s="632"/>
      <c r="E198" s="632"/>
      <c r="F198" s="632"/>
      <c r="G198" s="632"/>
      <c r="H198" s="632"/>
      <c r="I198" s="632"/>
      <c r="J198" s="632"/>
      <c r="K198" s="632"/>
    </row>
    <row r="199" spans="2:12" ht="24.95" customHeight="1">
      <c r="B199" s="82"/>
      <c r="C199" s="82"/>
      <c r="D199" s="478"/>
      <c r="E199" s="478"/>
      <c r="F199" s="478"/>
      <c r="G199" s="478"/>
      <c r="H199" s="478"/>
      <c r="I199" s="478"/>
      <c r="J199" s="296"/>
      <c r="K199" s="82"/>
    </row>
    <row r="200" spans="2:12" ht="24.95" customHeight="1">
      <c r="B200" t="s">
        <v>2</v>
      </c>
      <c r="D200" s="477" t="s">
        <v>47</v>
      </c>
    </row>
    <row r="201" spans="2:12" ht="24.95" customHeight="1"/>
    <row r="202" spans="2:12" ht="24.95" customHeight="1">
      <c r="B202" s="657" t="s">
        <v>4</v>
      </c>
      <c r="C202" s="654" t="s">
        <v>5</v>
      </c>
      <c r="D202" s="633" t="s">
        <v>6</v>
      </c>
      <c r="E202" s="634"/>
      <c r="F202" s="635"/>
      <c r="G202" s="639" t="s">
        <v>7</v>
      </c>
      <c r="H202" s="639" t="s">
        <v>8</v>
      </c>
      <c r="I202" s="639" t="s">
        <v>9</v>
      </c>
      <c r="J202" s="642" t="s">
        <v>10</v>
      </c>
      <c r="K202" s="645" t="s">
        <v>11</v>
      </c>
    </row>
    <row r="203" spans="2:12" ht="24.95" customHeight="1">
      <c r="B203" s="658"/>
      <c r="C203" s="655"/>
      <c r="D203" s="651" t="s">
        <v>12</v>
      </c>
      <c r="E203" s="630" t="s">
        <v>13</v>
      </c>
      <c r="F203" s="628" t="s">
        <v>14</v>
      </c>
      <c r="G203" s="640"/>
      <c r="H203" s="640"/>
      <c r="I203" s="640"/>
      <c r="J203" s="643"/>
      <c r="K203" s="646"/>
    </row>
    <row r="204" spans="2:12" ht="24.95" customHeight="1">
      <c r="B204" s="659"/>
      <c r="C204" s="656"/>
      <c r="D204" s="652"/>
      <c r="E204" s="631"/>
      <c r="F204" s="629"/>
      <c r="G204" s="641"/>
      <c r="H204" s="641"/>
      <c r="I204" s="641"/>
      <c r="J204" s="644"/>
      <c r="K204" s="647"/>
    </row>
    <row r="205" spans="2:12" ht="24.95" customHeight="1">
      <c r="B205" s="300">
        <v>1</v>
      </c>
      <c r="C205" s="301">
        <v>2</v>
      </c>
      <c r="D205" s="479">
        <v>3</v>
      </c>
      <c r="E205" s="479">
        <v>4</v>
      </c>
      <c r="F205" s="479">
        <v>5</v>
      </c>
      <c r="G205" s="479">
        <v>6</v>
      </c>
      <c r="H205" s="479">
        <v>7</v>
      </c>
      <c r="I205" s="479">
        <v>8</v>
      </c>
      <c r="J205" s="84">
        <v>9</v>
      </c>
      <c r="K205" s="333">
        <v>10</v>
      </c>
      <c r="L205" s="202"/>
    </row>
    <row r="206" spans="2:12" ht="24.95" customHeight="1">
      <c r="B206" s="134">
        <v>1</v>
      </c>
      <c r="C206" s="480" t="s">
        <v>15</v>
      </c>
      <c r="D206" s="497">
        <f>'PERKOMODITI 2024'!C15</f>
        <v>45</v>
      </c>
      <c r="E206" s="497">
        <f>'PERKOMODITI 2024'!D15</f>
        <v>580</v>
      </c>
      <c r="F206" s="497">
        <f>'PERKOMODITI 2024'!E15</f>
        <v>147</v>
      </c>
      <c r="G206" s="497">
        <f t="shared" ref="G206:G210" si="5">F206+E206+D206</f>
        <v>772</v>
      </c>
      <c r="H206" s="519">
        <f t="shared" ref="H206:H208" si="6">I206/1000*E206</f>
        <v>523.74</v>
      </c>
      <c r="I206" s="497">
        <f>'PERKOMODITI 2024'!H15</f>
        <v>903</v>
      </c>
      <c r="J206" s="497">
        <f>'PERKOMODITI 2024'!I15</f>
        <v>809</v>
      </c>
      <c r="K206" s="363"/>
    </row>
    <row r="207" spans="2:12" ht="24.95" customHeight="1">
      <c r="B207" s="26">
        <v>2</v>
      </c>
      <c r="C207" s="90" t="s">
        <v>16</v>
      </c>
      <c r="D207" s="482">
        <f>'PERKOMODITI 2024'!C62</f>
        <v>923</v>
      </c>
      <c r="E207" s="482">
        <f>'PERKOMODITI 2024'!D62</f>
        <v>2246</v>
      </c>
      <c r="F207" s="482">
        <f>'PERKOMODITI 2024'!E62</f>
        <v>9</v>
      </c>
      <c r="G207" s="482">
        <f t="shared" si="5"/>
        <v>3178</v>
      </c>
      <c r="H207" s="482">
        <f t="shared" si="6"/>
        <v>7762.1759999999995</v>
      </c>
      <c r="I207" s="482">
        <f>'PERKOMODITI 2024'!H62</f>
        <v>3456</v>
      </c>
      <c r="J207" s="482">
        <f>'PERKOMODITI 2024'!I62</f>
        <v>812</v>
      </c>
      <c r="K207" s="291"/>
    </row>
    <row r="208" spans="2:12" ht="24.95" customHeight="1">
      <c r="B208" s="26">
        <v>3</v>
      </c>
      <c r="C208" s="90" t="s">
        <v>17</v>
      </c>
      <c r="D208" s="482">
        <f>'PERKOMODITI 2024'!C192</f>
        <v>27</v>
      </c>
      <c r="E208" s="482">
        <f>'PERKOMODITI 2024'!D192</f>
        <v>43</v>
      </c>
      <c r="F208" s="482">
        <f>'PERKOMODITI 2024'!E192</f>
        <v>54</v>
      </c>
      <c r="G208" s="482">
        <f t="shared" si="5"/>
        <v>124</v>
      </c>
      <c r="H208" s="482">
        <f t="shared" si="6"/>
        <v>38.700000000000003</v>
      </c>
      <c r="I208" s="482">
        <f>'PERKOMODITI 2024'!H192</f>
        <v>900</v>
      </c>
      <c r="J208" s="482">
        <f>'PERKOMODITI 2024'!I192</f>
        <v>310</v>
      </c>
      <c r="K208" s="291"/>
    </row>
    <row r="209" spans="2:11" ht="24.95" customHeight="1">
      <c r="B209" s="26">
        <v>4</v>
      </c>
      <c r="C209" s="90" t="s">
        <v>19</v>
      </c>
      <c r="D209" s="482">
        <f>'PERKOMODITI 2024'!C285</f>
        <v>0</v>
      </c>
      <c r="E209" s="482">
        <f>'PERKOMODITI 2024'!D285</f>
        <v>0</v>
      </c>
      <c r="F209" s="535">
        <f>'PERKOMODITI 2024'!E285</f>
        <v>0</v>
      </c>
      <c r="G209" s="535">
        <f>'PERKOMODITI 2024'!F285</f>
        <v>0</v>
      </c>
      <c r="H209" s="535">
        <f>'PERKOMODITI 2024'!G285</f>
        <v>0</v>
      </c>
      <c r="I209" s="535">
        <f>'PERKOMODITI 2024'!H285</f>
        <v>0</v>
      </c>
      <c r="J209" s="535">
        <f>'PERKOMODITI 2024'!I285</f>
        <v>0</v>
      </c>
      <c r="K209" s="291"/>
    </row>
    <row r="210" spans="2:11" ht="24.95" customHeight="1">
      <c r="B210" s="26">
        <v>5</v>
      </c>
      <c r="C210" s="90" t="s">
        <v>21</v>
      </c>
      <c r="D210" s="482">
        <f>'PERKOMODITI 2024'!C145</f>
        <v>37</v>
      </c>
      <c r="E210" s="482">
        <f>'PERKOMODITI 2024'!D145</f>
        <v>152</v>
      </c>
      <c r="F210" s="482">
        <f>'PERKOMODITI 2024'!E145</f>
        <v>93</v>
      </c>
      <c r="G210" s="482">
        <f t="shared" si="5"/>
        <v>282</v>
      </c>
      <c r="H210" s="482">
        <f t="shared" ref="H210:H212" si="7">I210/1000*E210</f>
        <v>60.800000000000004</v>
      </c>
      <c r="I210" s="482">
        <f>'PERKOMODITI 2024'!H145</f>
        <v>400</v>
      </c>
      <c r="J210" s="482">
        <f>'PERKOMODITI 2024'!I145</f>
        <v>116</v>
      </c>
      <c r="K210" s="291"/>
    </row>
    <row r="211" spans="2:11" ht="24.95" customHeight="1">
      <c r="B211" s="26">
        <v>6</v>
      </c>
      <c r="C211" s="90" t="s">
        <v>22</v>
      </c>
      <c r="D211" s="482">
        <f>'PERKOMODITI 2024'!C418</f>
        <v>0</v>
      </c>
      <c r="E211" s="482">
        <f>'PERKOMODITI 2024'!D418</f>
        <v>0</v>
      </c>
      <c r="F211" s="482">
        <f>'PERKOMODITI 2024'!E418</f>
        <v>0</v>
      </c>
      <c r="G211" s="482">
        <f>'PERKOMODITI 2024'!F418</f>
        <v>0</v>
      </c>
      <c r="H211" s="482">
        <f>'PERKOMODITI 2024'!G418</f>
        <v>0</v>
      </c>
      <c r="I211" s="482">
        <f>'PERKOMODITI 2024'!H418</f>
        <v>0</v>
      </c>
      <c r="J211" s="482">
        <f>'PERKOMODITI 2024'!I418</f>
        <v>0</v>
      </c>
      <c r="K211" s="291"/>
    </row>
    <row r="212" spans="2:11" ht="24.95" customHeight="1">
      <c r="B212" s="26">
        <v>7</v>
      </c>
      <c r="C212" s="90" t="s">
        <v>23</v>
      </c>
      <c r="D212" s="482">
        <f>'PERKOMODITI 2024'!C100</f>
        <v>3</v>
      </c>
      <c r="E212" s="482">
        <f>'PERKOMODITI 2024'!D100</f>
        <v>18</v>
      </c>
      <c r="F212" s="482">
        <f>'PERKOMODITI 2024'!E100</f>
        <v>25</v>
      </c>
      <c r="G212" s="482">
        <f t="shared" ref="G212:G215" si="8">F212+E212+D212</f>
        <v>46</v>
      </c>
      <c r="H212" s="482">
        <f t="shared" si="7"/>
        <v>15.624000000000001</v>
      </c>
      <c r="I212" s="482">
        <f>'PERKOMODITI 2024'!H100</f>
        <v>868</v>
      </c>
      <c r="J212" s="482">
        <f>'PERKOMODITI 2024'!I100</f>
        <v>71</v>
      </c>
      <c r="K212" s="363"/>
    </row>
    <row r="213" spans="2:11" ht="24.95" customHeight="1">
      <c r="B213" s="26">
        <v>8</v>
      </c>
      <c r="C213" s="90" t="s">
        <v>24</v>
      </c>
      <c r="D213" s="535" t="str">
        <f>'PERKOMODITI 2024'!C455</f>
        <v>-</v>
      </c>
      <c r="E213" s="535" t="str">
        <f>'PERKOMODITI 2024'!D455</f>
        <v>-</v>
      </c>
      <c r="F213" s="482">
        <f>'PERKOMODITI 2024'!E455</f>
        <v>0</v>
      </c>
      <c r="G213" s="535" t="str">
        <f>'PERKOMODITI 2024'!F455</f>
        <v>-</v>
      </c>
      <c r="H213" s="535" t="str">
        <f>'PERKOMODITI 2024'!G455</f>
        <v>-</v>
      </c>
      <c r="I213" s="535" t="str">
        <f>'PERKOMODITI 2024'!H455</f>
        <v>-</v>
      </c>
      <c r="J213" s="535" t="str">
        <f>'PERKOMODITI 2024'!I455</f>
        <v>-</v>
      </c>
      <c r="K213" s="291"/>
    </row>
    <row r="214" spans="2:11" ht="24.95" customHeight="1">
      <c r="B214" s="26">
        <v>9</v>
      </c>
      <c r="C214" s="90" t="s">
        <v>25</v>
      </c>
      <c r="D214" s="535" t="str">
        <f>'PERKOMODITI 2024'!C375</f>
        <v>-</v>
      </c>
      <c r="E214" s="482">
        <f>'PERKOMODITI 2024'!D375</f>
        <v>0</v>
      </c>
      <c r="F214" s="482">
        <f>'PERKOMODITI 2024'!E375</f>
        <v>0</v>
      </c>
      <c r="G214" s="535" t="str">
        <f>'PERKOMODITI 2024'!F375</f>
        <v>-</v>
      </c>
      <c r="H214" s="482">
        <f>'PERKOMODITI 2024'!G375</f>
        <v>0</v>
      </c>
      <c r="I214" s="482">
        <f>'PERKOMODITI 2024'!H375</f>
        <v>0</v>
      </c>
      <c r="J214" s="535" t="str">
        <f>'PERKOMODITI 2024'!I375</f>
        <v>-</v>
      </c>
      <c r="K214" s="291"/>
    </row>
    <row r="215" spans="2:11" ht="24.95" customHeight="1">
      <c r="B215" s="26">
        <v>10</v>
      </c>
      <c r="C215" s="90" t="s">
        <v>26</v>
      </c>
      <c r="D215" s="482">
        <f>'PERKOMODITI 2024'!C239</f>
        <v>10</v>
      </c>
      <c r="E215" s="482">
        <f>'PERKOMODITI 2024'!D239</f>
        <v>18</v>
      </c>
      <c r="F215" s="482">
        <f>'PERKOMODITI 2024'!E239</f>
        <v>2</v>
      </c>
      <c r="G215" s="482">
        <f t="shared" si="8"/>
        <v>30</v>
      </c>
      <c r="H215" s="482">
        <f t="shared" ref="H215" si="9">I215/1000*E215</f>
        <v>6.7320000000000002</v>
      </c>
      <c r="I215" s="482">
        <f>'PERKOMODITI 2024'!H239</f>
        <v>374</v>
      </c>
      <c r="J215" s="482">
        <f>'PERKOMODITI 2024'!I239</f>
        <v>60</v>
      </c>
      <c r="K215" s="522"/>
    </row>
    <row r="216" spans="2:11" ht="24.95" customHeight="1">
      <c r="B216" s="26">
        <v>11</v>
      </c>
      <c r="C216" s="90" t="s">
        <v>27</v>
      </c>
      <c r="D216" s="535" t="str">
        <f>'PERKOMODITI 2024'!C330</f>
        <v>-</v>
      </c>
      <c r="E216" s="535" t="str">
        <f>'PERKOMODITI 2024'!D330</f>
        <v>-</v>
      </c>
      <c r="F216" s="535" t="str">
        <f>'PERKOMODITI 2024'!E330</f>
        <v>-</v>
      </c>
      <c r="G216" s="535" t="str">
        <f>'PERKOMODITI 2024'!F330</f>
        <v>-</v>
      </c>
      <c r="H216" s="535" t="str">
        <f>'PERKOMODITI 2024'!G330</f>
        <v>-</v>
      </c>
      <c r="I216" s="535" t="str">
        <f>'PERKOMODITI 2024'!H330</f>
        <v>-</v>
      </c>
      <c r="J216" s="535" t="str">
        <f>'PERKOMODITI 2024'!I330</f>
        <v>-</v>
      </c>
      <c r="K216" s="291"/>
    </row>
    <row r="217" spans="2:11" ht="24.95" customHeight="1">
      <c r="B217" s="26">
        <v>12</v>
      </c>
      <c r="C217" s="105" t="s">
        <v>28</v>
      </c>
      <c r="D217" s="535">
        <f>'PERKOMODITI 2024'!C493</f>
        <v>0</v>
      </c>
      <c r="E217" s="535">
        <f>'PERKOMODITI 2024'!D493</f>
        <v>0</v>
      </c>
      <c r="F217" s="535">
        <f>'PERKOMODITI 2024'!E493</f>
        <v>0</v>
      </c>
      <c r="G217" s="535">
        <f>'PERKOMODITI 2024'!F493</f>
        <v>0</v>
      </c>
      <c r="H217" s="535">
        <f>'PERKOMODITI 2024'!G493</f>
        <v>0</v>
      </c>
      <c r="I217" s="535">
        <f>'PERKOMODITI 2024'!H493</f>
        <v>0</v>
      </c>
      <c r="J217" s="535">
        <f>'PERKOMODITI 2024'!I493</f>
        <v>0</v>
      </c>
      <c r="K217" s="126"/>
    </row>
    <row r="218" spans="2:11" ht="24.95" customHeight="1">
      <c r="B218" s="26">
        <v>13</v>
      </c>
      <c r="C218" s="90" t="s">
        <v>29</v>
      </c>
      <c r="D218" s="535">
        <f>'PERKOMODITI 2024'!C538</f>
        <v>0</v>
      </c>
      <c r="E218" s="535">
        <f>'PERKOMODITI 2024'!D538</f>
        <v>0</v>
      </c>
      <c r="F218" s="535">
        <f>'PERKOMODITI 2024'!E538</f>
        <v>0</v>
      </c>
      <c r="G218" s="535">
        <f>'PERKOMODITI 2024'!F538</f>
        <v>0</v>
      </c>
      <c r="H218" s="535">
        <f>'PERKOMODITI 2024'!G538</f>
        <v>0</v>
      </c>
      <c r="I218" s="535">
        <f>'PERKOMODITI 2024'!H538</f>
        <v>0</v>
      </c>
      <c r="J218" s="535">
        <f>'PERKOMODITI 2024'!I538</f>
        <v>0</v>
      </c>
      <c r="K218" s="291"/>
    </row>
    <row r="219" spans="2:11" ht="24.95" customHeight="1">
      <c r="B219" s="26">
        <v>14</v>
      </c>
      <c r="C219" s="483" t="s">
        <v>30</v>
      </c>
      <c r="D219" s="535">
        <f>'PERKOMODITI 2024'!C575</f>
        <v>0</v>
      </c>
      <c r="E219" s="535">
        <f>'PERKOMODITI 2024'!D575</f>
        <v>0</v>
      </c>
      <c r="F219" s="535">
        <f>'PERKOMODITI 2024'!E575</f>
        <v>0</v>
      </c>
      <c r="G219" s="535">
        <f>'PERKOMODITI 2024'!F575</f>
        <v>0</v>
      </c>
      <c r="H219" s="535">
        <f>'PERKOMODITI 2024'!G575</f>
        <v>0</v>
      </c>
      <c r="I219" s="535">
        <f>'PERKOMODITI 2024'!H575</f>
        <v>0</v>
      </c>
      <c r="J219" s="535">
        <f>'PERKOMODITI 2024'!I575</f>
        <v>0</v>
      </c>
      <c r="K219" s="291"/>
    </row>
    <row r="220" spans="2:11" ht="24.95" customHeight="1">
      <c r="B220" s="26">
        <v>15</v>
      </c>
      <c r="C220" s="483" t="s">
        <v>31</v>
      </c>
      <c r="D220" s="535">
        <f>'PERKOMODITI 2024'!C614</f>
        <v>0</v>
      </c>
      <c r="E220" s="535">
        <f>'PERKOMODITI 2024'!D614</f>
        <v>0</v>
      </c>
      <c r="F220" s="535">
        <f>'PERKOMODITI 2024'!E614</f>
        <v>0</v>
      </c>
      <c r="G220" s="535">
        <f>'PERKOMODITI 2024'!F614</f>
        <v>0</v>
      </c>
      <c r="H220" s="535">
        <f>'PERKOMODITI 2024'!G614</f>
        <v>0</v>
      </c>
      <c r="I220" s="535">
        <f>'PERKOMODITI 2024'!H614</f>
        <v>0</v>
      </c>
      <c r="J220" s="535">
        <f>'PERKOMODITI 2024'!I614</f>
        <v>0</v>
      </c>
      <c r="K220" s="291"/>
    </row>
    <row r="221" spans="2:11" ht="24.95" customHeight="1">
      <c r="B221" s="111">
        <v>16</v>
      </c>
      <c r="C221" s="485" t="s">
        <v>32</v>
      </c>
      <c r="D221" s="520">
        <f>'PERKOMODITI 2024'!C649</f>
        <v>0</v>
      </c>
      <c r="E221" s="520">
        <f>'PERKOMODITI 2024'!D649</f>
        <v>0</v>
      </c>
      <c r="F221" s="520">
        <f>'PERKOMODITI 2024'!E649</f>
        <v>0</v>
      </c>
      <c r="G221" s="520">
        <f>'PERKOMODITI 2024'!F649</f>
        <v>0</v>
      </c>
      <c r="H221" s="520">
        <f>'PERKOMODITI 2024'!G649</f>
        <v>0</v>
      </c>
      <c r="I221" s="520">
        <f>'PERKOMODITI 2024'!H649</f>
        <v>0</v>
      </c>
      <c r="J221" s="520">
        <f>'PERKOMODITI 2024'!I649</f>
        <v>0</v>
      </c>
      <c r="K221" s="523"/>
    </row>
    <row r="222" spans="2:11" ht="24.95" customHeight="1"/>
    <row r="223" spans="2:11" ht="16.5" customHeight="1">
      <c r="H223" s="489" t="s">
        <v>12</v>
      </c>
      <c r="I223" s="636" t="s">
        <v>33</v>
      </c>
      <c r="J223" s="636"/>
      <c r="K223" s="636"/>
    </row>
    <row r="224" spans="2:11" ht="16.5" customHeight="1">
      <c r="H224" s="492" t="s">
        <v>13</v>
      </c>
      <c r="I224" s="636" t="s">
        <v>34</v>
      </c>
      <c r="J224" s="636"/>
      <c r="K224" s="636"/>
    </row>
    <row r="225" spans="2:11" ht="16.5" customHeight="1">
      <c r="H225" s="489" t="s">
        <v>14</v>
      </c>
      <c r="I225" s="636" t="s">
        <v>35</v>
      </c>
      <c r="J225" s="636"/>
      <c r="K225" s="636"/>
    </row>
    <row r="226" spans="2:11" ht="24.95" customHeight="1">
      <c r="H226" s="637"/>
      <c r="I226" s="637"/>
      <c r="J226" s="637"/>
      <c r="K226" s="637"/>
    </row>
    <row r="227" spans="2:11" ht="24.95" customHeight="1">
      <c r="C227" s="44" t="s">
        <v>36</v>
      </c>
      <c r="D227" s="494"/>
      <c r="E227" s="494"/>
      <c r="F227" s="494"/>
      <c r="H227" s="638"/>
      <c r="I227" s="638"/>
      <c r="J227" s="638"/>
      <c r="K227" s="638"/>
    </row>
    <row r="228" spans="2:11" ht="24.95" customHeight="1">
      <c r="C228" s="263"/>
      <c r="D228" s="494"/>
      <c r="E228" s="494"/>
      <c r="F228" s="494"/>
      <c r="H228" s="638"/>
      <c r="I228" s="638"/>
      <c r="J228" s="638"/>
      <c r="K228" s="638"/>
    </row>
    <row r="229" spans="2:11" ht="9.75" customHeight="1">
      <c r="C229" s="45"/>
      <c r="D229" s="494"/>
      <c r="E229" s="494"/>
      <c r="F229" s="494"/>
      <c r="H229" s="494"/>
      <c r="I229" s="494"/>
      <c r="J229" s="506"/>
      <c r="K229" s="45"/>
    </row>
    <row r="230" spans="2:11" ht="12.75" customHeight="1">
      <c r="C230" s="45"/>
      <c r="D230" s="494"/>
      <c r="E230" s="494"/>
      <c r="F230" s="494"/>
      <c r="H230" s="494"/>
      <c r="I230" s="494"/>
      <c r="J230" s="506"/>
      <c r="K230" s="45"/>
    </row>
    <row r="231" spans="2:11" ht="25.5" customHeight="1">
      <c r="C231" s="495" t="s">
        <v>48</v>
      </c>
      <c r="D231" s="496"/>
      <c r="E231" s="496"/>
      <c r="F231" s="496"/>
      <c r="H231" s="653"/>
      <c r="I231" s="653"/>
      <c r="J231" s="653"/>
      <c r="K231" s="653"/>
    </row>
    <row r="232" spans="2:11" ht="14.25" customHeight="1">
      <c r="C232" s="266"/>
      <c r="H232" s="650"/>
      <c r="I232" s="637"/>
      <c r="J232" s="637"/>
      <c r="K232" s="637"/>
    </row>
    <row r="233" spans="2:11" ht="15" customHeight="1">
      <c r="C233" s="266"/>
      <c r="H233" s="47"/>
      <c r="I233" s="48"/>
      <c r="J233" s="48"/>
      <c r="K233" s="48"/>
    </row>
    <row r="234" spans="2:11" ht="24.95" customHeight="1">
      <c r="B234" s="632" t="s">
        <v>0</v>
      </c>
      <c r="C234" s="632"/>
      <c r="D234" s="632"/>
      <c r="E234" s="632"/>
      <c r="F234" s="632"/>
      <c r="G234" s="632"/>
      <c r="H234" s="632"/>
      <c r="I234" s="632"/>
      <c r="J234" s="632"/>
      <c r="K234" s="632"/>
    </row>
    <row r="235" spans="2:11" ht="24.95" customHeight="1">
      <c r="B235" s="632" t="s">
        <v>1</v>
      </c>
      <c r="C235" s="632"/>
      <c r="D235" s="632"/>
      <c r="E235" s="632"/>
      <c r="F235" s="632"/>
      <c r="G235" s="632"/>
      <c r="H235" s="632"/>
      <c r="I235" s="632"/>
      <c r="J235" s="632"/>
      <c r="K235" s="632"/>
    </row>
    <row r="236" spans="2:11" ht="24.95" customHeight="1">
      <c r="B236" s="632" t="s">
        <v>313</v>
      </c>
      <c r="C236" s="632"/>
      <c r="D236" s="632"/>
      <c r="E236" s="632"/>
      <c r="F236" s="632"/>
      <c r="G236" s="632"/>
      <c r="H236" s="632"/>
      <c r="I236" s="632"/>
      <c r="J236" s="632"/>
      <c r="K236" s="632"/>
    </row>
    <row r="237" spans="2:11" ht="24.95" customHeight="1">
      <c r="B237" s="82"/>
      <c r="C237" s="82"/>
      <c r="D237" s="478"/>
      <c r="E237" s="478"/>
      <c r="F237" s="478"/>
      <c r="G237" s="478"/>
      <c r="H237" s="478"/>
      <c r="I237" s="478"/>
      <c r="J237" s="296"/>
      <c r="K237" s="82"/>
    </row>
    <row r="238" spans="2:11" ht="24.95" customHeight="1">
      <c r="B238" t="s">
        <v>2</v>
      </c>
      <c r="D238" s="477" t="s">
        <v>49</v>
      </c>
    </row>
    <row r="239" spans="2:11" ht="24.95" customHeight="1"/>
    <row r="240" spans="2:11" ht="24.95" customHeight="1">
      <c r="B240" s="657" t="s">
        <v>4</v>
      </c>
      <c r="C240" s="654" t="s">
        <v>5</v>
      </c>
      <c r="D240" s="633" t="s">
        <v>6</v>
      </c>
      <c r="E240" s="634"/>
      <c r="F240" s="635"/>
      <c r="G240" s="639" t="s">
        <v>7</v>
      </c>
      <c r="H240" s="639" t="s">
        <v>8</v>
      </c>
      <c r="I240" s="639" t="s">
        <v>9</v>
      </c>
      <c r="J240" s="642" t="s">
        <v>10</v>
      </c>
      <c r="K240" s="645" t="s">
        <v>11</v>
      </c>
    </row>
    <row r="241" spans="2:12" ht="24.95" customHeight="1">
      <c r="B241" s="658"/>
      <c r="C241" s="655"/>
      <c r="D241" s="651" t="s">
        <v>12</v>
      </c>
      <c r="E241" s="630" t="s">
        <v>13</v>
      </c>
      <c r="F241" s="628" t="s">
        <v>14</v>
      </c>
      <c r="G241" s="640"/>
      <c r="H241" s="640"/>
      <c r="I241" s="640"/>
      <c r="J241" s="643"/>
      <c r="K241" s="646"/>
    </row>
    <row r="242" spans="2:12" ht="24.95" customHeight="1">
      <c r="B242" s="659"/>
      <c r="C242" s="656"/>
      <c r="D242" s="652"/>
      <c r="E242" s="631"/>
      <c r="F242" s="629"/>
      <c r="G242" s="641"/>
      <c r="H242" s="641"/>
      <c r="I242" s="641"/>
      <c r="J242" s="644"/>
      <c r="K242" s="647"/>
    </row>
    <row r="243" spans="2:12" ht="24.95" customHeight="1">
      <c r="B243" s="300">
        <v>1</v>
      </c>
      <c r="C243" s="301">
        <v>2</v>
      </c>
      <c r="D243" s="479">
        <v>3</v>
      </c>
      <c r="E243" s="479">
        <v>4</v>
      </c>
      <c r="F243" s="479">
        <v>5</v>
      </c>
      <c r="G243" s="479">
        <v>6</v>
      </c>
      <c r="H243" s="479">
        <v>7</v>
      </c>
      <c r="I243" s="479">
        <v>8</v>
      </c>
      <c r="J243" s="84">
        <v>9</v>
      </c>
      <c r="K243" s="333">
        <v>10</v>
      </c>
      <c r="L243" s="202"/>
    </row>
    <row r="244" spans="2:12" ht="24.95" customHeight="1">
      <c r="B244" s="134">
        <v>1</v>
      </c>
      <c r="C244" s="480" t="s">
        <v>15</v>
      </c>
      <c r="D244" s="539" t="str">
        <f>'PERKOMODITI 2024'!C16</f>
        <v>-</v>
      </c>
      <c r="E244" s="539" t="str">
        <f>'PERKOMODITI 2024'!D16</f>
        <v>-</v>
      </c>
      <c r="F244" s="539" t="str">
        <f>'PERKOMODITI 2024'!E16</f>
        <v>-</v>
      </c>
      <c r="G244" s="539" t="str">
        <f>'PERKOMODITI 2024'!F16</f>
        <v>-</v>
      </c>
      <c r="H244" s="539" t="str">
        <f>'PERKOMODITI 2024'!G16</f>
        <v>-</v>
      </c>
      <c r="I244" s="539" t="str">
        <f>'PERKOMODITI 2024'!H16</f>
        <v>-</v>
      </c>
      <c r="J244" s="539" t="str">
        <f>'PERKOMODITI 2024'!I16</f>
        <v>-</v>
      </c>
      <c r="K244" s="363"/>
    </row>
    <row r="245" spans="2:12" ht="24.95" customHeight="1">
      <c r="B245" s="26">
        <v>2</v>
      </c>
      <c r="C245" s="90" t="s">
        <v>16</v>
      </c>
      <c r="D245" s="482">
        <f>'PERKOMODITI 2024'!C63</f>
        <v>553</v>
      </c>
      <c r="E245" s="482">
        <f>'PERKOMODITI 2024'!D63</f>
        <v>719</v>
      </c>
      <c r="F245" s="482">
        <f>'PERKOMODITI 2024'!E63</f>
        <v>8.5</v>
      </c>
      <c r="G245" s="482">
        <f t="shared" ref="G245" si="10">F245+E245+D245</f>
        <v>1280.5</v>
      </c>
      <c r="H245" s="482">
        <f t="shared" ref="H245:H246" si="11">I245/1000*E245</f>
        <v>2484.864</v>
      </c>
      <c r="I245" s="482">
        <f>'PERKOMODITI 2024'!H63</f>
        <v>3456</v>
      </c>
      <c r="J245" s="482">
        <f>'PERKOMODITI 2024'!I63</f>
        <v>813</v>
      </c>
      <c r="K245" s="291"/>
    </row>
    <row r="246" spans="2:12" ht="24.95" customHeight="1">
      <c r="B246" s="26">
        <v>3</v>
      </c>
      <c r="C246" s="90" t="s">
        <v>17</v>
      </c>
      <c r="D246" s="482">
        <f>'PERKOMODITI 2024'!C193</f>
        <v>69</v>
      </c>
      <c r="E246" s="482">
        <f>'PERKOMODITI 2024'!D193</f>
        <v>97</v>
      </c>
      <c r="F246" s="482">
        <f>'PERKOMODITI 2024'!E193</f>
        <v>4</v>
      </c>
      <c r="G246" s="482">
        <f>E246+D246+F246</f>
        <v>170</v>
      </c>
      <c r="H246" s="482">
        <f t="shared" si="11"/>
        <v>87.3</v>
      </c>
      <c r="I246" s="482">
        <f>'PERKOMODITI 2024'!H193</f>
        <v>900</v>
      </c>
      <c r="J246" s="482">
        <f>'PERKOMODITI 2024'!I193</f>
        <v>235</v>
      </c>
      <c r="K246" s="291"/>
    </row>
    <row r="247" spans="2:12" ht="24.95" customHeight="1">
      <c r="B247" s="26">
        <v>4</v>
      </c>
      <c r="C247" s="90" t="s">
        <v>19</v>
      </c>
      <c r="D247" s="482">
        <f>'PERKOMODITI 2024'!C286</f>
        <v>0</v>
      </c>
      <c r="E247" s="482">
        <f>'PERKOMODITI 2024'!D286</f>
        <v>0</v>
      </c>
      <c r="F247" s="535">
        <f>'PERKOMODITI 2024'!E286</f>
        <v>0</v>
      </c>
      <c r="G247" s="535">
        <f>'PERKOMODITI 2024'!F286</f>
        <v>0</v>
      </c>
      <c r="H247" s="535">
        <f>'PERKOMODITI 2024'!G286</f>
        <v>0</v>
      </c>
      <c r="I247" s="535">
        <f>'PERKOMODITI 2024'!H286</f>
        <v>0</v>
      </c>
      <c r="J247" s="535">
        <f>'PERKOMODITI 2024'!I286</f>
        <v>0</v>
      </c>
      <c r="K247" s="291"/>
    </row>
    <row r="248" spans="2:12" ht="24.95" customHeight="1">
      <c r="B248" s="26">
        <v>5</v>
      </c>
      <c r="C248" s="90" t="s">
        <v>21</v>
      </c>
      <c r="D248" s="482">
        <f>'PERKOMODITI 2024'!C146</f>
        <v>10</v>
      </c>
      <c r="E248" s="482">
        <f>'PERKOMODITI 2024'!D146</f>
        <v>24</v>
      </c>
      <c r="F248" s="482">
        <f>'PERKOMODITI 2024'!E146</f>
        <v>1</v>
      </c>
      <c r="G248" s="482">
        <f>E248+D248</f>
        <v>34</v>
      </c>
      <c r="H248" s="482">
        <f t="shared" ref="H248" si="12">I248/1000*E248</f>
        <v>9.6000000000000014</v>
      </c>
      <c r="I248" s="482">
        <f>'PERKOMODITI 2024'!H146</f>
        <v>400</v>
      </c>
      <c r="J248" s="482">
        <f>'PERKOMODITI 2024'!I146</f>
        <v>101</v>
      </c>
      <c r="K248" s="291"/>
    </row>
    <row r="249" spans="2:12" ht="24.95" customHeight="1">
      <c r="B249" s="26">
        <v>6</v>
      </c>
      <c r="C249" s="90" t="s">
        <v>22</v>
      </c>
      <c r="D249" s="482">
        <f>'PERKOMODITI 2024'!Q419</f>
        <v>0</v>
      </c>
      <c r="E249" s="482">
        <f>'PERKOMODITI 2024'!R419</f>
        <v>0</v>
      </c>
      <c r="F249" s="521" t="s">
        <v>20</v>
      </c>
      <c r="G249" s="482" t="s">
        <v>20</v>
      </c>
      <c r="H249" s="482" t="s">
        <v>20</v>
      </c>
      <c r="I249" s="482">
        <f>'PERKOMODITI 2024'!V419</f>
        <v>0</v>
      </c>
      <c r="J249" s="397">
        <f>'PERKOMODITI 2024'!W419</f>
        <v>0</v>
      </c>
      <c r="K249" s="291"/>
    </row>
    <row r="250" spans="2:12" ht="24.95" customHeight="1">
      <c r="B250" s="26">
        <v>7</v>
      </c>
      <c r="C250" s="90" t="s">
        <v>23</v>
      </c>
      <c r="D250" s="535">
        <f>'PERKOMODITI 2024'!Q101</f>
        <v>0</v>
      </c>
      <c r="E250" s="535">
        <f>'PERKOMODITI 2024'!R101</f>
        <v>0</v>
      </c>
      <c r="F250" s="540">
        <f>'PERKOMODITI 2024'!S101</f>
        <v>0</v>
      </c>
      <c r="G250" s="482" t="s">
        <v>20</v>
      </c>
      <c r="H250" s="482" t="s">
        <v>20</v>
      </c>
      <c r="I250" s="535">
        <f>'PERKOMODITI 2024'!V101</f>
        <v>0</v>
      </c>
      <c r="J250" s="397">
        <f>'PERKOMODITI 2024'!W101</f>
        <v>0</v>
      </c>
      <c r="K250" s="363"/>
    </row>
    <row r="251" spans="2:12" ht="24.95" customHeight="1">
      <c r="B251" s="26">
        <v>8</v>
      </c>
      <c r="C251" s="90" t="s">
        <v>24</v>
      </c>
      <c r="D251" s="535">
        <f>'PERKOMODITI 2024'!Q456</f>
        <v>0</v>
      </c>
      <c r="E251" s="535">
        <f>'PERKOMODITI 2024'!R456</f>
        <v>0</v>
      </c>
      <c r="F251" s="521">
        <f>'PERKOMODITI 2024'!S456</f>
        <v>0</v>
      </c>
      <c r="G251" s="535">
        <f>'PERKOMODITI 2024'!T456</f>
        <v>0</v>
      </c>
      <c r="H251" s="535">
        <f>'PERKOMODITI 2024'!U456</f>
        <v>0</v>
      </c>
      <c r="I251" s="536">
        <f>'PERKOMODITI 2024'!V456</f>
        <v>0</v>
      </c>
      <c r="J251" s="397">
        <f>'PERKOMODITI 2024'!W456</f>
        <v>0</v>
      </c>
      <c r="K251" s="291"/>
    </row>
    <row r="252" spans="2:12" ht="24.95" customHeight="1">
      <c r="B252" s="26">
        <v>9</v>
      </c>
      <c r="C252" s="90" t="s">
        <v>25</v>
      </c>
      <c r="D252" s="535">
        <f>'PERKOMODITI 2024'!Q376</f>
        <v>0</v>
      </c>
      <c r="E252" s="482">
        <f>'PERKOMODITI 2024'!R376</f>
        <v>0</v>
      </c>
      <c r="F252" s="482">
        <f>'PERKOMODITI 2024'!S376</f>
        <v>0</v>
      </c>
      <c r="G252" s="482" t="s">
        <v>20</v>
      </c>
      <c r="H252" s="482">
        <v>0</v>
      </c>
      <c r="I252" s="482">
        <f>'PERKOMODITI 2024'!V376</f>
        <v>0</v>
      </c>
      <c r="J252" s="541">
        <f>'PERKOMODITI 2024'!W376</f>
        <v>0</v>
      </c>
      <c r="K252" s="291"/>
    </row>
    <row r="253" spans="2:12" ht="24.95" customHeight="1">
      <c r="B253" s="26">
        <v>10</v>
      </c>
      <c r="C253" s="90" t="s">
        <v>26</v>
      </c>
      <c r="D253" s="482">
        <f>'PERKOMODITI 2024'!C240</f>
        <v>13</v>
      </c>
      <c r="E253" s="482">
        <f>'PERKOMODITI 2024'!D240</f>
        <v>8</v>
      </c>
      <c r="F253" s="482">
        <f>'PERKOMODITI 2024'!E240</f>
        <v>7</v>
      </c>
      <c r="G253" s="482">
        <f t="shared" ref="G253" si="13">F253+E253+D253</f>
        <v>28</v>
      </c>
      <c r="H253" s="482">
        <f t="shared" ref="H253" si="14">I253/1000*E253</f>
        <v>2.992</v>
      </c>
      <c r="I253" s="482">
        <f>'PERKOMODITI 2024'!H240</f>
        <v>374</v>
      </c>
      <c r="J253" s="482">
        <f>'PERKOMODITI 2024'!I240</f>
        <v>77</v>
      </c>
      <c r="K253" s="291"/>
    </row>
    <row r="254" spans="2:12" ht="24.95" customHeight="1">
      <c r="B254" s="26">
        <v>11</v>
      </c>
      <c r="C254" s="90" t="s">
        <v>27</v>
      </c>
      <c r="D254" s="535">
        <f>'PERKOMODITI 2024'!Q331</f>
        <v>0</v>
      </c>
      <c r="E254" s="535">
        <f>'PERKOMODITI 2024'!R331</f>
        <v>0</v>
      </c>
      <c r="F254" s="535">
        <f>'PERKOMODITI 2024'!S331</f>
        <v>0</v>
      </c>
      <c r="G254" s="482" t="s">
        <v>20</v>
      </c>
      <c r="H254" s="482" t="s">
        <v>20</v>
      </c>
      <c r="I254" s="535">
        <f>'PERKOMODITI 2024'!V331</f>
        <v>0</v>
      </c>
      <c r="J254" s="397">
        <f>'PERKOMODITI 2024'!W331</f>
        <v>0</v>
      </c>
      <c r="K254" s="291"/>
    </row>
    <row r="255" spans="2:12" ht="24.95" customHeight="1">
      <c r="B255" s="26">
        <v>12</v>
      </c>
      <c r="C255" s="105" t="s">
        <v>28</v>
      </c>
      <c r="D255" s="482">
        <f>'PERKOMODITI 2024'!Q941</f>
        <v>0</v>
      </c>
      <c r="E255" s="482">
        <f>'PERKOMODITI 2024'!R941</f>
        <v>0</v>
      </c>
      <c r="F255" s="482">
        <f>'PERKOMODITI 2024'!S941</f>
        <v>0</v>
      </c>
      <c r="G255" s="498" t="s">
        <v>20</v>
      </c>
      <c r="H255" s="498" t="s">
        <v>20</v>
      </c>
      <c r="I255" s="482">
        <f>'PERKOMODITI 2024'!V941</f>
        <v>0</v>
      </c>
      <c r="J255" s="397">
        <f>'PERKOMODITI 2024'!W941</f>
        <v>0</v>
      </c>
      <c r="K255" s="126"/>
    </row>
    <row r="256" spans="2:12" ht="24.95" customHeight="1">
      <c r="B256" s="26">
        <v>13</v>
      </c>
      <c r="C256" s="90" t="s">
        <v>29</v>
      </c>
      <c r="D256" s="482">
        <f>'PERKOMODITI 2024'!Q942</f>
        <v>0</v>
      </c>
      <c r="E256" s="482">
        <f>'PERKOMODITI 2024'!R942</f>
        <v>0</v>
      </c>
      <c r="F256" s="482">
        <f>'PERKOMODITI 2024'!S942</f>
        <v>0</v>
      </c>
      <c r="G256" s="498" t="s">
        <v>20</v>
      </c>
      <c r="H256" s="498" t="s">
        <v>20</v>
      </c>
      <c r="I256" s="482">
        <f>'PERKOMODITI 2024'!V942</f>
        <v>0</v>
      </c>
      <c r="J256" s="397">
        <f>'PERKOMODITI 2024'!W942</f>
        <v>0</v>
      </c>
      <c r="K256" s="291"/>
    </row>
    <row r="257" spans="2:11" ht="24.95" customHeight="1">
      <c r="B257" s="26">
        <v>14</v>
      </c>
      <c r="C257" s="483" t="s">
        <v>30</v>
      </c>
      <c r="D257" s="482">
        <f>'PERKOMODITI 2024'!Q870</f>
        <v>0</v>
      </c>
      <c r="E257" s="482">
        <f>'PERKOMODITI 2024'!R870</f>
        <v>0</v>
      </c>
      <c r="F257" s="482">
        <f>'PERKOMODITI 2024'!S870</f>
        <v>0</v>
      </c>
      <c r="G257" s="498" t="s">
        <v>20</v>
      </c>
      <c r="H257" s="498" t="s">
        <v>20</v>
      </c>
      <c r="I257" s="482">
        <f>'PERKOMODITI 2024'!V870</f>
        <v>0</v>
      </c>
      <c r="J257" s="397">
        <f>'PERKOMODITI 2024'!W870</f>
        <v>0</v>
      </c>
      <c r="K257" s="291"/>
    </row>
    <row r="258" spans="2:11" ht="24.95" customHeight="1">
      <c r="B258" s="26">
        <v>15</v>
      </c>
      <c r="C258" s="483" t="s">
        <v>31</v>
      </c>
      <c r="D258" s="482">
        <f>'PERKOMODITI 2024'!Q871</f>
        <v>0</v>
      </c>
      <c r="E258" s="482">
        <f>'PERKOMODITI 2024'!R871</f>
        <v>0</v>
      </c>
      <c r="F258" s="482">
        <f>'PERKOMODITI 2024'!S871</f>
        <v>0</v>
      </c>
      <c r="G258" s="498" t="s">
        <v>20</v>
      </c>
      <c r="H258" s="498" t="s">
        <v>20</v>
      </c>
      <c r="I258" s="482">
        <f>'PERKOMODITI 2024'!V871</f>
        <v>0</v>
      </c>
      <c r="J258" s="397">
        <f>'PERKOMODITI 2024'!W871</f>
        <v>0</v>
      </c>
      <c r="K258" s="291"/>
    </row>
    <row r="259" spans="2:11" ht="24.95" customHeight="1">
      <c r="B259" s="111">
        <v>16</v>
      </c>
      <c r="C259" s="485" t="s">
        <v>32</v>
      </c>
      <c r="D259" s="512" t="s">
        <v>20</v>
      </c>
      <c r="E259" s="512" t="s">
        <v>20</v>
      </c>
      <c r="F259" s="512" t="s">
        <v>20</v>
      </c>
      <c r="G259" s="512" t="s">
        <v>20</v>
      </c>
      <c r="H259" s="512" t="s">
        <v>20</v>
      </c>
      <c r="I259" s="512" t="s">
        <v>20</v>
      </c>
      <c r="J259" s="524" t="s">
        <v>20</v>
      </c>
      <c r="K259" s="503"/>
    </row>
    <row r="260" spans="2:11" ht="24.95" customHeight="1"/>
    <row r="261" spans="2:11" ht="17.25" customHeight="1">
      <c r="H261" s="489" t="s">
        <v>12</v>
      </c>
      <c r="I261" s="636" t="s">
        <v>33</v>
      </c>
      <c r="J261" s="636"/>
      <c r="K261" s="636"/>
    </row>
    <row r="262" spans="2:11" ht="17.25" customHeight="1">
      <c r="H262" s="492" t="s">
        <v>13</v>
      </c>
      <c r="I262" s="636" t="s">
        <v>34</v>
      </c>
      <c r="J262" s="636"/>
      <c r="K262" s="636"/>
    </row>
    <row r="263" spans="2:11" ht="17.25" customHeight="1">
      <c r="H263" s="489" t="s">
        <v>14</v>
      </c>
      <c r="I263" s="636" t="s">
        <v>35</v>
      </c>
      <c r="J263" s="636"/>
      <c r="K263" s="636"/>
    </row>
    <row r="264" spans="2:11" ht="17.25" customHeight="1">
      <c r="H264" s="637"/>
      <c r="I264" s="637"/>
      <c r="J264" s="637"/>
      <c r="K264" s="637"/>
    </row>
    <row r="265" spans="2:11" ht="24.95" customHeight="1">
      <c r="C265" s="44" t="s">
        <v>36</v>
      </c>
      <c r="D265" s="494"/>
      <c r="E265" s="494"/>
      <c r="F265" s="494"/>
      <c r="H265" s="638"/>
      <c r="I265" s="638"/>
      <c r="J265" s="638"/>
      <c r="K265" s="638"/>
    </row>
    <row r="266" spans="2:11" ht="16.5" customHeight="1">
      <c r="C266" s="263"/>
      <c r="D266" s="494"/>
      <c r="E266" s="494"/>
      <c r="F266" s="494"/>
      <c r="H266" s="494"/>
      <c r="I266" s="494"/>
      <c r="J266" s="506"/>
      <c r="K266" s="263"/>
    </row>
    <row r="267" spans="2:11" ht="12" customHeight="1">
      <c r="C267" s="45"/>
      <c r="D267" s="494"/>
      <c r="E267" s="494"/>
      <c r="F267" s="494"/>
      <c r="H267" s="494"/>
      <c r="I267" s="494"/>
      <c r="J267" s="506"/>
      <c r="K267" s="45"/>
    </row>
    <row r="268" spans="2:11" ht="18" customHeight="1">
      <c r="C268" s="45"/>
      <c r="D268" s="494"/>
      <c r="E268" s="494"/>
      <c r="F268" s="494"/>
      <c r="H268" s="494"/>
      <c r="I268" s="494"/>
      <c r="J268" s="506"/>
      <c r="K268" s="45"/>
    </row>
    <row r="269" spans="2:11" ht="24.95" customHeight="1">
      <c r="C269" s="495" t="s">
        <v>50</v>
      </c>
      <c r="D269" s="496"/>
      <c r="E269" s="496"/>
      <c r="F269" s="496"/>
      <c r="H269" s="653"/>
      <c r="I269" s="653"/>
      <c r="J269" s="653"/>
      <c r="K269" s="653"/>
    </row>
    <row r="270" spans="2:11" ht="15.75" customHeight="1">
      <c r="C270" s="266"/>
      <c r="H270" s="650"/>
      <c r="I270" s="637"/>
      <c r="J270" s="637"/>
      <c r="K270" s="637"/>
    </row>
    <row r="271" spans="2:11" ht="17.25" customHeight="1">
      <c r="C271" s="266"/>
      <c r="H271" s="47"/>
      <c r="I271" s="48"/>
      <c r="J271" s="48"/>
      <c r="K271" s="48"/>
    </row>
    <row r="272" spans="2:11" ht="24.95" customHeight="1">
      <c r="B272" s="632" t="s">
        <v>0</v>
      </c>
      <c r="C272" s="632"/>
      <c r="D272" s="632"/>
      <c r="E272" s="632"/>
      <c r="F272" s="632"/>
      <c r="G272" s="632"/>
      <c r="H272" s="632"/>
      <c r="I272" s="632"/>
      <c r="J272" s="632"/>
      <c r="K272" s="632"/>
    </row>
    <row r="273" spans="2:12" ht="24.95" customHeight="1">
      <c r="B273" s="632" t="s">
        <v>1</v>
      </c>
      <c r="C273" s="632"/>
      <c r="D273" s="632"/>
      <c r="E273" s="632"/>
      <c r="F273" s="632"/>
      <c r="G273" s="632"/>
      <c r="H273" s="632"/>
      <c r="I273" s="632"/>
      <c r="J273" s="632"/>
      <c r="K273" s="632"/>
    </row>
    <row r="274" spans="2:12" ht="24.95" customHeight="1">
      <c r="B274" s="632" t="s">
        <v>313</v>
      </c>
      <c r="C274" s="632"/>
      <c r="D274" s="632"/>
      <c r="E274" s="632"/>
      <c r="F274" s="632"/>
      <c r="G274" s="632"/>
      <c r="H274" s="632"/>
      <c r="I274" s="632"/>
      <c r="J274" s="632"/>
      <c r="K274" s="632"/>
    </row>
    <row r="275" spans="2:12" ht="24.95" customHeight="1">
      <c r="B275" s="82"/>
      <c r="C275" s="82"/>
      <c r="D275" s="478"/>
      <c r="E275" s="478"/>
      <c r="F275" s="478"/>
      <c r="G275" s="478"/>
      <c r="H275" s="478"/>
      <c r="I275" s="478"/>
      <c r="J275" s="296"/>
      <c r="K275" s="82"/>
    </row>
    <row r="276" spans="2:12" ht="24.95" customHeight="1">
      <c r="B276" t="s">
        <v>2</v>
      </c>
      <c r="D276" s="477" t="s">
        <v>51</v>
      </c>
    </row>
    <row r="277" spans="2:12" ht="24.95" customHeight="1"/>
    <row r="278" spans="2:12" ht="24.95" customHeight="1">
      <c r="B278" s="657" t="s">
        <v>4</v>
      </c>
      <c r="C278" s="654" t="s">
        <v>5</v>
      </c>
      <c r="D278" s="633" t="s">
        <v>6</v>
      </c>
      <c r="E278" s="634"/>
      <c r="F278" s="635"/>
      <c r="G278" s="639" t="s">
        <v>7</v>
      </c>
      <c r="H278" s="639" t="s">
        <v>8</v>
      </c>
      <c r="I278" s="639" t="s">
        <v>9</v>
      </c>
      <c r="J278" s="642" t="s">
        <v>10</v>
      </c>
      <c r="K278" s="645" t="s">
        <v>11</v>
      </c>
    </row>
    <row r="279" spans="2:12" ht="24.95" customHeight="1">
      <c r="B279" s="658"/>
      <c r="C279" s="655"/>
      <c r="D279" s="651" t="s">
        <v>12</v>
      </c>
      <c r="E279" s="630" t="s">
        <v>13</v>
      </c>
      <c r="F279" s="628" t="s">
        <v>14</v>
      </c>
      <c r="G279" s="640"/>
      <c r="H279" s="640"/>
      <c r="I279" s="640"/>
      <c r="J279" s="643"/>
      <c r="K279" s="646"/>
    </row>
    <row r="280" spans="2:12" ht="24.95" customHeight="1">
      <c r="B280" s="659"/>
      <c r="C280" s="656"/>
      <c r="D280" s="652"/>
      <c r="E280" s="631"/>
      <c r="F280" s="629"/>
      <c r="G280" s="641"/>
      <c r="H280" s="641"/>
      <c r="I280" s="641"/>
      <c r="J280" s="644"/>
      <c r="K280" s="647"/>
    </row>
    <row r="281" spans="2:12" ht="24.95" customHeight="1">
      <c r="B281" s="300">
        <v>1</v>
      </c>
      <c r="C281" s="301">
        <v>2</v>
      </c>
      <c r="D281" s="479">
        <v>3</v>
      </c>
      <c r="E281" s="479">
        <v>4</v>
      </c>
      <c r="F281" s="479">
        <v>5</v>
      </c>
      <c r="G281" s="479">
        <v>6</v>
      </c>
      <c r="H281" s="479">
        <v>7</v>
      </c>
      <c r="I281" s="479">
        <v>8</v>
      </c>
      <c r="J281" s="84">
        <v>9</v>
      </c>
      <c r="K281" s="333">
        <v>10</v>
      </c>
      <c r="L281" s="202"/>
    </row>
    <row r="282" spans="2:12" ht="24.95" customHeight="1">
      <c r="B282" s="134">
        <v>1</v>
      </c>
      <c r="C282" s="480" t="s">
        <v>15</v>
      </c>
      <c r="D282" s="539">
        <f>'PERKOMODITI 2024'!Q17</f>
        <v>0</v>
      </c>
      <c r="E282" s="539">
        <f>'PERKOMODITI 2024'!R17</f>
        <v>0</v>
      </c>
      <c r="F282" s="539">
        <f>'PERKOMODITI 2024'!S17</f>
        <v>0</v>
      </c>
      <c r="G282" s="497" t="s">
        <v>20</v>
      </c>
      <c r="H282" s="497" t="s">
        <v>20</v>
      </c>
      <c r="I282" s="539">
        <f>'PERKOMODITI 2024'!V17</f>
        <v>0</v>
      </c>
      <c r="J282" s="542">
        <f>'PERKOMODITI 2024'!W17</f>
        <v>0</v>
      </c>
      <c r="K282" s="388"/>
    </row>
    <row r="283" spans="2:12" ht="24.95" customHeight="1">
      <c r="B283" s="26">
        <v>2</v>
      </c>
      <c r="C283" s="90" t="s">
        <v>16</v>
      </c>
      <c r="D283" s="482">
        <f>'PERKOMODITI 2024'!C64</f>
        <v>740</v>
      </c>
      <c r="E283" s="482">
        <f>'PERKOMODITI 2024'!D64</f>
        <v>481</v>
      </c>
      <c r="F283" s="482">
        <f>'PERKOMODITI 2024'!E64</f>
        <v>239</v>
      </c>
      <c r="G283" s="498">
        <f t="shared" ref="G283:G296" si="15">SUM(D283:F283)</f>
        <v>1460</v>
      </c>
      <c r="H283" s="482">
        <f t="shared" ref="H283:H284" si="16">I283/1000*E283</f>
        <v>1662.336</v>
      </c>
      <c r="I283" s="482">
        <f>'PERKOMODITI 2024'!H64</f>
        <v>3456</v>
      </c>
      <c r="J283" s="482">
        <f>'PERKOMODITI 2024'!I64</f>
        <v>998</v>
      </c>
      <c r="K283" s="515"/>
    </row>
    <row r="284" spans="2:12" ht="24.95" customHeight="1">
      <c r="B284" s="26">
        <v>3</v>
      </c>
      <c r="C284" s="90" t="s">
        <v>17</v>
      </c>
      <c r="D284" s="482">
        <f>'PERKOMODITI 2024'!C194</f>
        <v>10</v>
      </c>
      <c r="E284" s="482">
        <f>'PERKOMODITI 2024'!D194</f>
        <v>45</v>
      </c>
      <c r="F284" s="482">
        <f>'PERKOMODITI 2024'!E194</f>
        <v>45</v>
      </c>
      <c r="G284" s="498">
        <f t="shared" si="15"/>
        <v>100</v>
      </c>
      <c r="H284" s="482">
        <f t="shared" si="16"/>
        <v>40.5</v>
      </c>
      <c r="I284" s="482">
        <f>'PERKOMODITI 2024'!H194</f>
        <v>900</v>
      </c>
      <c r="J284" s="482">
        <f>'PERKOMODITI 2024'!I194</f>
        <v>2586</v>
      </c>
      <c r="K284" s="515"/>
    </row>
    <row r="285" spans="2:12" ht="24.95" customHeight="1">
      <c r="B285" s="26">
        <v>4</v>
      </c>
      <c r="C285" s="90" t="s">
        <v>19</v>
      </c>
      <c r="D285" s="482">
        <v>0</v>
      </c>
      <c r="E285" s="482">
        <v>0</v>
      </c>
      <c r="F285" s="482">
        <v>0</v>
      </c>
      <c r="G285" s="498">
        <f t="shared" si="15"/>
        <v>0</v>
      </c>
      <c r="H285" s="482">
        <v>0</v>
      </c>
      <c r="I285" s="498">
        <v>0</v>
      </c>
      <c r="J285" s="541" t="s">
        <v>20</v>
      </c>
      <c r="K285" s="515"/>
    </row>
    <row r="286" spans="2:12" ht="24.95" customHeight="1">
      <c r="B286" s="26">
        <v>5</v>
      </c>
      <c r="C286" s="90" t="s">
        <v>21</v>
      </c>
      <c r="D286" s="535">
        <f>'PERKOMODITI 2024'!Q147</f>
        <v>0</v>
      </c>
      <c r="E286" s="535">
        <f>'PERKOMODITI 2024'!R147</f>
        <v>0</v>
      </c>
      <c r="F286" s="535">
        <f>'PERKOMODITI 2024'!S147</f>
        <v>0</v>
      </c>
      <c r="G286" s="498">
        <f t="shared" si="15"/>
        <v>0</v>
      </c>
      <c r="H286" s="482" t="s">
        <v>20</v>
      </c>
      <c r="I286" s="535">
        <f>'PERKOMODITI 2024'!V147</f>
        <v>0</v>
      </c>
      <c r="J286" s="541">
        <f>'PERKOMODITI 2024'!W147</f>
        <v>0</v>
      </c>
      <c r="K286" s="515"/>
    </row>
    <row r="287" spans="2:12" ht="24.95" customHeight="1">
      <c r="B287" s="26">
        <v>6</v>
      </c>
      <c r="C287" s="90" t="s">
        <v>22</v>
      </c>
      <c r="D287" s="482">
        <v>0</v>
      </c>
      <c r="E287" s="482" t="s">
        <v>20</v>
      </c>
      <c r="F287" s="482" t="s">
        <v>20</v>
      </c>
      <c r="G287" s="498">
        <f t="shared" si="15"/>
        <v>0</v>
      </c>
      <c r="H287" s="482" t="s">
        <v>20</v>
      </c>
      <c r="I287" s="482" t="s">
        <v>20</v>
      </c>
      <c r="J287" s="397" t="s">
        <v>20</v>
      </c>
      <c r="K287" s="515"/>
    </row>
    <row r="288" spans="2:12" ht="24.95" customHeight="1">
      <c r="B288" s="26">
        <v>7</v>
      </c>
      <c r="C288" s="90" t="s">
        <v>23</v>
      </c>
      <c r="D288" s="535">
        <f>'PERKOMODITI 2024'!Q102</f>
        <v>0</v>
      </c>
      <c r="E288" s="535">
        <f>'PERKOMODITI 2024'!R102</f>
        <v>0</v>
      </c>
      <c r="F288" s="535">
        <f>'PERKOMODITI 2024'!S102</f>
        <v>0</v>
      </c>
      <c r="G288" s="498">
        <f t="shared" si="15"/>
        <v>0</v>
      </c>
      <c r="H288" s="482" t="s">
        <v>20</v>
      </c>
      <c r="I288" s="535">
        <f>'PERKOMODITI 2024'!V102</f>
        <v>0</v>
      </c>
      <c r="J288" s="541">
        <f>'PERKOMODITI 2024'!W102</f>
        <v>0</v>
      </c>
      <c r="K288" s="388"/>
    </row>
    <row r="289" spans="2:11" ht="24.95" customHeight="1">
      <c r="B289" s="26">
        <v>8</v>
      </c>
      <c r="C289" s="90" t="s">
        <v>24</v>
      </c>
      <c r="D289" s="535">
        <f>'PERKOMODITI 2024'!Q457</f>
        <v>0</v>
      </c>
      <c r="E289" s="535">
        <f>'PERKOMODITI 2024'!R457</f>
        <v>0</v>
      </c>
      <c r="F289" s="482">
        <f>'PERKOMODITI 2024'!S457</f>
        <v>0</v>
      </c>
      <c r="G289" s="498">
        <f t="shared" si="15"/>
        <v>0</v>
      </c>
      <c r="H289" s="535">
        <f>'PERKOMODITI 2024'!U457</f>
        <v>0</v>
      </c>
      <c r="I289" s="536">
        <f>'PERKOMODITI 2024'!V457</f>
        <v>0</v>
      </c>
      <c r="J289" s="541">
        <f>'PERKOMODITI 2024'!W457</f>
        <v>0</v>
      </c>
      <c r="K289" s="515"/>
    </row>
    <row r="290" spans="2:11" ht="24.95" customHeight="1">
      <c r="B290" s="26">
        <v>9</v>
      </c>
      <c r="C290" s="90" t="s">
        <v>25</v>
      </c>
      <c r="D290" s="535">
        <f>'PERKOMODITI 2024'!Q377</f>
        <v>0</v>
      </c>
      <c r="E290" s="482">
        <f>'PERKOMODITI 2024'!R377</f>
        <v>0</v>
      </c>
      <c r="F290" s="521" t="s">
        <v>20</v>
      </c>
      <c r="G290" s="498">
        <f t="shared" si="15"/>
        <v>0</v>
      </c>
      <c r="H290" s="482">
        <f t="shared" ref="H290:H291" si="17">I290/1000*E290</f>
        <v>0</v>
      </c>
      <c r="I290" s="482">
        <f>'PERKOMODITI 2024'!V377</f>
        <v>0</v>
      </c>
      <c r="J290" s="541">
        <f>'PERKOMODITI 2024'!W377</f>
        <v>0</v>
      </c>
      <c r="K290" s="515"/>
    </row>
    <row r="291" spans="2:11" ht="24.95" customHeight="1">
      <c r="B291" s="26">
        <v>10</v>
      </c>
      <c r="C291" s="90" t="s">
        <v>26</v>
      </c>
      <c r="D291" s="482">
        <f>'PERKOMODITI 2024'!C241</f>
        <v>39</v>
      </c>
      <c r="E291" s="482">
        <f>'PERKOMODITI 2024'!D241</f>
        <v>77</v>
      </c>
      <c r="F291" s="482">
        <f>'PERKOMODITI 2024'!E241</f>
        <v>20</v>
      </c>
      <c r="G291" s="498">
        <f t="shared" si="15"/>
        <v>136</v>
      </c>
      <c r="H291" s="482">
        <f t="shared" si="17"/>
        <v>28.797999999999998</v>
      </c>
      <c r="I291" s="482">
        <f>'PERKOMODITI 2024'!H241</f>
        <v>374</v>
      </c>
      <c r="J291" s="482">
        <f>'PERKOMODITI 2024'!I241</f>
        <v>267</v>
      </c>
      <c r="K291" s="515"/>
    </row>
    <row r="292" spans="2:11" ht="24.95" customHeight="1">
      <c r="B292" s="26">
        <v>11</v>
      </c>
      <c r="C292" s="90" t="s">
        <v>27</v>
      </c>
      <c r="D292" s="535">
        <f>'PERKOMODITI 2024'!Q332</f>
        <v>0</v>
      </c>
      <c r="E292" s="535">
        <f>'PERKOMODITI 2024'!R332</f>
        <v>0</v>
      </c>
      <c r="F292" s="535">
        <f>'PERKOMODITI 2024'!S332</f>
        <v>0</v>
      </c>
      <c r="G292" s="498">
        <f t="shared" si="15"/>
        <v>0</v>
      </c>
      <c r="H292" s="482" t="s">
        <v>20</v>
      </c>
      <c r="I292" s="535">
        <f>'PERKOMODITI 2024'!V332</f>
        <v>0</v>
      </c>
      <c r="J292" s="541">
        <f>'PERKOMODITI 2024'!W332</f>
        <v>0</v>
      </c>
      <c r="K292" s="515"/>
    </row>
    <row r="293" spans="2:11" ht="24.95" customHeight="1">
      <c r="B293" s="26">
        <v>12</v>
      </c>
      <c r="C293" s="105" t="s">
        <v>28</v>
      </c>
      <c r="D293" s="482">
        <f>'PERKOMODITI 2024'!Q999</f>
        <v>0</v>
      </c>
      <c r="E293" s="482">
        <f>'PERKOMODITI 2024'!R999</f>
        <v>0</v>
      </c>
      <c r="F293" s="482">
        <f>'PERKOMODITI 2024'!S999</f>
        <v>0</v>
      </c>
      <c r="G293" s="498">
        <f t="shared" si="15"/>
        <v>0</v>
      </c>
      <c r="H293" s="498" t="s">
        <v>20</v>
      </c>
      <c r="I293" s="482">
        <f>'PERKOMODITI 2024'!V999</f>
        <v>0</v>
      </c>
      <c r="J293" s="397">
        <f>'PERKOMODITI 2024'!W999</f>
        <v>0</v>
      </c>
      <c r="K293" s="126"/>
    </row>
    <row r="294" spans="2:11" ht="24.95" customHeight="1">
      <c r="B294" s="26">
        <v>13</v>
      </c>
      <c r="C294" s="90" t="s">
        <v>29</v>
      </c>
      <c r="D294" s="498" t="s">
        <v>20</v>
      </c>
      <c r="E294" s="482">
        <f>'PERKOMODITI 2024'!R1000</f>
        <v>0</v>
      </c>
      <c r="F294" s="482">
        <f>'PERKOMODITI 2024'!S1000</f>
        <v>0</v>
      </c>
      <c r="G294" s="498">
        <f t="shared" si="15"/>
        <v>0</v>
      </c>
      <c r="H294" s="498" t="s">
        <v>20</v>
      </c>
      <c r="I294" s="482">
        <f>'PERKOMODITI 2024'!V1000</f>
        <v>0</v>
      </c>
      <c r="J294" s="397">
        <f>'PERKOMODITI 2024'!W1000</f>
        <v>0</v>
      </c>
      <c r="K294" s="515"/>
    </row>
    <row r="295" spans="2:11" ht="24.95" customHeight="1">
      <c r="B295" s="26">
        <v>14</v>
      </c>
      <c r="C295" s="483" t="s">
        <v>30</v>
      </c>
      <c r="D295" s="482">
        <f>'PERKOMODITI 2024'!Q928</f>
        <v>0</v>
      </c>
      <c r="E295" s="482">
        <f>'PERKOMODITI 2024'!R928</f>
        <v>0</v>
      </c>
      <c r="F295" s="482">
        <f>'PERKOMODITI 2024'!S928</f>
        <v>0</v>
      </c>
      <c r="G295" s="498">
        <f t="shared" si="15"/>
        <v>0</v>
      </c>
      <c r="H295" s="498" t="s">
        <v>20</v>
      </c>
      <c r="I295" s="482">
        <f>'PERKOMODITI 2024'!V928</f>
        <v>0</v>
      </c>
      <c r="J295" s="397">
        <f>'PERKOMODITI 2024'!W928</f>
        <v>0</v>
      </c>
      <c r="K295" s="515"/>
    </row>
    <row r="296" spans="2:11" ht="24.95" customHeight="1">
      <c r="B296" s="26">
        <v>15</v>
      </c>
      <c r="C296" s="483" t="s">
        <v>31</v>
      </c>
      <c r="D296" s="482">
        <f>'PERKOMODITI 2024'!Q616</f>
        <v>0</v>
      </c>
      <c r="E296" s="535">
        <f>'PERKOMODITI 2024'!R616</f>
        <v>0</v>
      </c>
      <c r="F296" s="482">
        <f>'PERKOMODITI 2024'!E616</f>
        <v>1</v>
      </c>
      <c r="G296" s="498">
        <f t="shared" si="15"/>
        <v>1</v>
      </c>
      <c r="H296" s="498" t="s">
        <v>20</v>
      </c>
      <c r="I296" s="482">
        <f>'PERKOMODITI 2024'!V929</f>
        <v>0</v>
      </c>
      <c r="J296" s="397">
        <f>'PERKOMODITI 2024'!W929</f>
        <v>0</v>
      </c>
      <c r="K296" s="515"/>
    </row>
    <row r="297" spans="2:11" ht="24.95" customHeight="1">
      <c r="B297" s="111">
        <v>16</v>
      </c>
      <c r="C297" s="485" t="s">
        <v>32</v>
      </c>
      <c r="D297" s="512" t="s">
        <v>20</v>
      </c>
      <c r="E297" s="512" t="s">
        <v>20</v>
      </c>
      <c r="F297" s="512" t="s">
        <v>20</v>
      </c>
      <c r="G297" s="512" t="s">
        <v>20</v>
      </c>
      <c r="H297" s="512" t="s">
        <v>20</v>
      </c>
      <c r="I297" s="512" t="s">
        <v>20</v>
      </c>
      <c r="J297" s="524" t="s">
        <v>20</v>
      </c>
      <c r="K297" s="517"/>
    </row>
    <row r="298" spans="2:11" ht="24.95" customHeight="1"/>
    <row r="299" spans="2:11" ht="16.5" customHeight="1">
      <c r="H299" s="489" t="s">
        <v>12</v>
      </c>
      <c r="I299" s="636" t="s">
        <v>33</v>
      </c>
      <c r="J299" s="636"/>
      <c r="K299" s="636"/>
    </row>
    <row r="300" spans="2:11" ht="16.5" customHeight="1">
      <c r="H300" s="492" t="s">
        <v>13</v>
      </c>
      <c r="I300" s="636" t="s">
        <v>34</v>
      </c>
      <c r="J300" s="636"/>
      <c r="K300" s="636"/>
    </row>
    <row r="301" spans="2:11" ht="16.5" customHeight="1">
      <c r="H301" s="489" t="s">
        <v>14</v>
      </c>
      <c r="I301" s="636" t="s">
        <v>35</v>
      </c>
      <c r="J301" s="636"/>
      <c r="K301" s="636"/>
    </row>
    <row r="302" spans="2:11" ht="9.75" customHeight="1">
      <c r="H302" s="637"/>
      <c r="I302" s="637"/>
      <c r="J302" s="637"/>
      <c r="K302" s="637"/>
    </row>
    <row r="303" spans="2:11" ht="24.95" customHeight="1">
      <c r="C303" s="44" t="s">
        <v>36</v>
      </c>
      <c r="D303" s="494"/>
      <c r="E303" s="494"/>
      <c r="F303" s="494"/>
      <c r="H303" s="638"/>
      <c r="I303" s="638"/>
      <c r="J303" s="638"/>
      <c r="K303" s="638"/>
    </row>
    <row r="304" spans="2:11" ht="15.75" customHeight="1">
      <c r="C304" s="263"/>
      <c r="D304" s="494"/>
      <c r="E304" s="494"/>
      <c r="F304" s="494"/>
      <c r="H304" s="638"/>
      <c r="I304" s="638"/>
      <c r="J304" s="638"/>
      <c r="K304" s="638"/>
    </row>
    <row r="305" spans="2:12" ht="12" customHeight="1">
      <c r="C305" s="45"/>
      <c r="D305" s="494"/>
      <c r="E305" s="494"/>
      <c r="F305" s="494"/>
      <c r="H305" s="494"/>
      <c r="I305" s="494"/>
      <c r="J305" s="506"/>
      <c r="K305" s="45"/>
    </row>
    <row r="306" spans="2:12" ht="12.75" customHeight="1">
      <c r="C306" s="45"/>
      <c r="D306" s="494"/>
      <c r="E306" s="494"/>
      <c r="F306" s="494"/>
      <c r="H306" s="494"/>
      <c r="I306" s="494"/>
      <c r="J306" s="506"/>
      <c r="K306" s="45"/>
    </row>
    <row r="307" spans="2:12" ht="24.95" customHeight="1">
      <c r="C307" s="495" t="s">
        <v>52</v>
      </c>
      <c r="D307" s="496"/>
      <c r="E307" s="496"/>
      <c r="F307" s="496"/>
      <c r="H307" s="653"/>
      <c r="I307" s="653"/>
      <c r="J307" s="653"/>
      <c r="K307" s="653"/>
    </row>
    <row r="308" spans="2:12" ht="15.75" customHeight="1">
      <c r="C308" s="266"/>
      <c r="H308" s="650"/>
      <c r="I308" s="637"/>
      <c r="J308" s="637"/>
      <c r="K308" s="637"/>
    </row>
    <row r="309" spans="2:12" ht="15" customHeight="1">
      <c r="C309" s="266"/>
      <c r="H309" s="47"/>
      <c r="I309" s="48"/>
      <c r="J309" s="48"/>
      <c r="K309" s="48"/>
    </row>
    <row r="310" spans="2:12" ht="21" customHeight="1">
      <c r="C310" s="266"/>
      <c r="H310" s="47"/>
      <c r="I310" s="48"/>
      <c r="J310" s="48"/>
      <c r="K310" s="48"/>
    </row>
    <row r="311" spans="2:12" ht="24.95" customHeight="1">
      <c r="B311" s="632" t="s">
        <v>0</v>
      </c>
      <c r="C311" s="632"/>
      <c r="D311" s="632"/>
      <c r="E311" s="632"/>
      <c r="F311" s="632"/>
      <c r="G311" s="632"/>
      <c r="H311" s="632"/>
      <c r="I311" s="632"/>
      <c r="J311" s="632"/>
      <c r="K311" s="632"/>
    </row>
    <row r="312" spans="2:12" ht="24.95" customHeight="1">
      <c r="B312" s="632" t="s">
        <v>1</v>
      </c>
      <c r="C312" s="632"/>
      <c r="D312" s="632"/>
      <c r="E312" s="632"/>
      <c r="F312" s="632"/>
      <c r="G312" s="632"/>
      <c r="H312" s="632"/>
      <c r="I312" s="632"/>
      <c r="J312" s="632"/>
      <c r="K312" s="632"/>
    </row>
    <row r="313" spans="2:12" ht="24.95" customHeight="1">
      <c r="B313" s="632" t="s">
        <v>313</v>
      </c>
      <c r="C313" s="632"/>
      <c r="D313" s="632"/>
      <c r="E313" s="632"/>
      <c r="F313" s="632"/>
      <c r="G313" s="632"/>
      <c r="H313" s="632"/>
      <c r="I313" s="632"/>
      <c r="J313" s="632"/>
      <c r="K313" s="632"/>
    </row>
    <row r="314" spans="2:12" ht="24.95" customHeight="1">
      <c r="B314" s="82"/>
      <c r="C314" s="82"/>
      <c r="D314" s="478"/>
      <c r="E314" s="478"/>
      <c r="F314" s="478"/>
      <c r="G314" s="478"/>
      <c r="H314" s="478"/>
      <c r="I314" s="478"/>
      <c r="J314" s="296"/>
      <c r="K314" s="82"/>
    </row>
    <row r="315" spans="2:12" ht="24.95" customHeight="1">
      <c r="B315" t="s">
        <v>2</v>
      </c>
      <c r="D315" s="477" t="s">
        <v>53</v>
      </c>
    </row>
    <row r="316" spans="2:12" ht="24.95" customHeight="1"/>
    <row r="317" spans="2:12" ht="24.95" customHeight="1">
      <c r="B317" s="657" t="s">
        <v>4</v>
      </c>
      <c r="C317" s="654" t="s">
        <v>5</v>
      </c>
      <c r="D317" s="633" t="s">
        <v>6</v>
      </c>
      <c r="E317" s="634"/>
      <c r="F317" s="635"/>
      <c r="G317" s="639" t="s">
        <v>7</v>
      </c>
      <c r="H317" s="639" t="s">
        <v>8</v>
      </c>
      <c r="I317" s="639" t="s">
        <v>9</v>
      </c>
      <c r="J317" s="642" t="s">
        <v>10</v>
      </c>
      <c r="K317" s="645" t="s">
        <v>11</v>
      </c>
    </row>
    <row r="318" spans="2:12" ht="24.95" customHeight="1">
      <c r="B318" s="658"/>
      <c r="C318" s="655"/>
      <c r="D318" s="630" t="s">
        <v>12</v>
      </c>
      <c r="E318" s="648" t="s">
        <v>13</v>
      </c>
      <c r="F318" s="630" t="s">
        <v>14</v>
      </c>
      <c r="G318" s="640"/>
      <c r="H318" s="640"/>
      <c r="I318" s="640"/>
      <c r="J318" s="643"/>
      <c r="K318" s="646"/>
    </row>
    <row r="319" spans="2:12" ht="24.95" customHeight="1">
      <c r="B319" s="659"/>
      <c r="C319" s="656"/>
      <c r="D319" s="631"/>
      <c r="E319" s="649"/>
      <c r="F319" s="631"/>
      <c r="G319" s="641"/>
      <c r="H319" s="641"/>
      <c r="I319" s="641"/>
      <c r="J319" s="644"/>
      <c r="K319" s="647"/>
    </row>
    <row r="320" spans="2:12" ht="24.95" customHeight="1">
      <c r="B320" s="300">
        <v>1</v>
      </c>
      <c r="C320" s="301">
        <v>2</v>
      </c>
      <c r="D320" s="479">
        <v>3</v>
      </c>
      <c r="E320" s="479">
        <v>4</v>
      </c>
      <c r="F320" s="479">
        <v>5</v>
      </c>
      <c r="G320" s="479">
        <v>6</v>
      </c>
      <c r="H320" s="479">
        <v>7</v>
      </c>
      <c r="I320" s="479">
        <v>8</v>
      </c>
      <c r="J320" s="84">
        <v>9</v>
      </c>
      <c r="K320" s="333">
        <v>10</v>
      </c>
      <c r="L320" s="202"/>
    </row>
    <row r="321" spans="2:11" ht="24.95" customHeight="1">
      <c r="B321" s="134">
        <v>1</v>
      </c>
      <c r="C321" s="480" t="s">
        <v>15</v>
      </c>
      <c r="D321" s="539">
        <f>'PERKOMODITI 2024'!Q18</f>
        <v>0</v>
      </c>
      <c r="E321" s="539">
        <f>'PERKOMODITI 2024'!R18</f>
        <v>0</v>
      </c>
      <c r="F321" s="543">
        <f>'PERKOMODITI 2024'!S18</f>
        <v>0</v>
      </c>
      <c r="G321" s="497" t="s">
        <v>20</v>
      </c>
      <c r="H321" s="497" t="s">
        <v>20</v>
      </c>
      <c r="I321" s="497" t="s">
        <v>20</v>
      </c>
      <c r="J321" s="527">
        <f>'PERKOMODITI 2024'!W18</f>
        <v>0</v>
      </c>
      <c r="K321" s="363"/>
    </row>
    <row r="322" spans="2:11" ht="24.95" customHeight="1">
      <c r="B322" s="26">
        <v>2</v>
      </c>
      <c r="C322" s="90" t="s">
        <v>16</v>
      </c>
      <c r="D322" s="482">
        <f>'PERKOMODITI 2024'!C65</f>
        <v>14</v>
      </c>
      <c r="E322" s="482">
        <f>'PERKOMODITI 2024'!D65</f>
        <v>12</v>
      </c>
      <c r="F322" s="482">
        <f>'PERKOMODITI 2024'!E65</f>
        <v>50</v>
      </c>
      <c r="G322" s="482">
        <f t="shared" ref="G322:G326" si="18">F322+E322+D322</f>
        <v>76</v>
      </c>
      <c r="H322" s="482">
        <f t="shared" ref="H322:H325" si="19">I322/1000*E322</f>
        <v>41.472000000000001</v>
      </c>
      <c r="I322" s="482">
        <f>'PERKOMODITI 2024'!H65</f>
        <v>3456</v>
      </c>
      <c r="J322" s="482">
        <f>'PERKOMODITI 2024'!I65</f>
        <v>76</v>
      </c>
      <c r="K322" s="363"/>
    </row>
    <row r="323" spans="2:11" ht="24.95" customHeight="1">
      <c r="B323" s="26">
        <v>3</v>
      </c>
      <c r="C323" s="90" t="s">
        <v>17</v>
      </c>
      <c r="D323" s="482">
        <f>'PERKOMODITI 2024'!C195</f>
        <v>27</v>
      </c>
      <c r="E323" s="482">
        <f>'PERKOMODITI 2024'!D195</f>
        <v>39</v>
      </c>
      <c r="F323" s="482">
        <f>'PERKOMODITI 2024'!E195</f>
        <v>106</v>
      </c>
      <c r="G323" s="482">
        <f t="shared" si="18"/>
        <v>172</v>
      </c>
      <c r="H323" s="482">
        <f t="shared" si="19"/>
        <v>35.1</v>
      </c>
      <c r="I323" s="482">
        <f>'PERKOMODITI 2024'!H195</f>
        <v>900</v>
      </c>
      <c r="J323" s="482">
        <f>'PERKOMODITI 2024'!I195</f>
        <v>292</v>
      </c>
      <c r="K323" s="291"/>
    </row>
    <row r="324" spans="2:11" ht="24.95" customHeight="1">
      <c r="B324" s="26">
        <v>4</v>
      </c>
      <c r="C324" s="90" t="s">
        <v>19</v>
      </c>
      <c r="D324" s="498" t="str">
        <f>'PERKOMODITI 2024'!Q288</f>
        <v>-</v>
      </c>
      <c r="E324" s="535" t="str">
        <f>'PERKOMODITI 2024'!R288</f>
        <v>-</v>
      </c>
      <c r="F324" s="482">
        <f>'PERKOMODITI 2024'!S288</f>
        <v>0</v>
      </c>
      <c r="G324" s="498" t="s">
        <v>20</v>
      </c>
      <c r="H324" s="498" t="s">
        <v>20</v>
      </c>
      <c r="I324" s="536" t="str">
        <f>'PERKOMODITI 2024'!V288</f>
        <v>-</v>
      </c>
      <c r="J324" s="397" t="str">
        <f>'PERKOMODITI 2024'!W288</f>
        <v>-</v>
      </c>
      <c r="K324" s="291"/>
    </row>
    <row r="325" spans="2:11" ht="24.95" customHeight="1">
      <c r="B325" s="26">
        <v>5</v>
      </c>
      <c r="C325" s="90" t="s">
        <v>21</v>
      </c>
      <c r="D325" s="482">
        <f>'PERKOMODITI 2024'!C148</f>
        <v>24</v>
      </c>
      <c r="E325" s="482">
        <f>'PERKOMODITI 2024'!D148</f>
        <v>11</v>
      </c>
      <c r="F325" s="482">
        <f>'PERKOMODITI 2024'!E148</f>
        <v>9</v>
      </c>
      <c r="G325" s="482">
        <f t="shared" si="18"/>
        <v>44</v>
      </c>
      <c r="H325" s="482">
        <f t="shared" si="19"/>
        <v>4.4000000000000004</v>
      </c>
      <c r="I325" s="482">
        <f>'PERKOMODITI 2024'!H148</f>
        <v>400</v>
      </c>
      <c r="J325" s="482">
        <f>'PERKOMODITI 2024'!I148</f>
        <v>57</v>
      </c>
      <c r="K325" s="522"/>
    </row>
    <row r="326" spans="2:11" ht="24.95" customHeight="1">
      <c r="B326" s="26">
        <v>6</v>
      </c>
      <c r="C326" s="90" t="s">
        <v>22</v>
      </c>
      <c r="D326" s="482">
        <v>0</v>
      </c>
      <c r="E326" s="482">
        <v>0</v>
      </c>
      <c r="F326" s="482">
        <v>0</v>
      </c>
      <c r="G326" s="482">
        <f t="shared" si="18"/>
        <v>0</v>
      </c>
      <c r="H326" s="482">
        <v>0</v>
      </c>
      <c r="I326" s="482" t="s">
        <v>20</v>
      </c>
      <c r="J326" s="541" t="s">
        <v>20</v>
      </c>
      <c r="K326" s="291"/>
    </row>
    <row r="327" spans="2:11" ht="24.95" customHeight="1">
      <c r="B327" s="26">
        <v>7</v>
      </c>
      <c r="C327" s="90" t="s">
        <v>23</v>
      </c>
      <c r="D327" s="535">
        <f>'PERKOMODITI 2024'!Q103</f>
        <v>0</v>
      </c>
      <c r="E327" s="535">
        <f>'PERKOMODITI 2024'!R103</f>
        <v>0</v>
      </c>
      <c r="F327" s="482">
        <f>'PERKOMODITI 2024'!E103</f>
        <v>26</v>
      </c>
      <c r="G327" s="482">
        <f>F327</f>
        <v>26</v>
      </c>
      <c r="H327" s="482" t="s">
        <v>20</v>
      </c>
      <c r="I327" s="535">
        <f>'PERKOMODITI 2024'!V103</f>
        <v>0</v>
      </c>
      <c r="J327" s="397">
        <f>'PERKOMODITI 2024'!I103</f>
        <v>47</v>
      </c>
      <c r="K327" s="510"/>
    </row>
    <row r="328" spans="2:11" ht="24.95" customHeight="1">
      <c r="B328" s="26">
        <v>8</v>
      </c>
      <c r="C328" s="90" t="s">
        <v>24</v>
      </c>
      <c r="D328" s="482">
        <v>0</v>
      </c>
      <c r="E328" s="482" t="s">
        <v>20</v>
      </c>
      <c r="F328" s="482">
        <v>0</v>
      </c>
      <c r="G328" s="482" t="s">
        <v>20</v>
      </c>
      <c r="H328" s="482">
        <v>0</v>
      </c>
      <c r="I328" s="536" t="s">
        <v>20</v>
      </c>
      <c r="J328" s="397" t="s">
        <v>20</v>
      </c>
      <c r="K328" s="291"/>
    </row>
    <row r="329" spans="2:11" ht="24.95" customHeight="1">
      <c r="B329" s="26">
        <v>9</v>
      </c>
      <c r="C329" s="90" t="s">
        <v>25</v>
      </c>
      <c r="D329" s="535">
        <f>'PERKOMODITI 2024'!Q378</f>
        <v>0</v>
      </c>
      <c r="E329" s="482">
        <f>'PERKOMODITI 2024'!R378</f>
        <v>0</v>
      </c>
      <c r="F329" s="482">
        <f>'PERKOMODITI 2024'!S378</f>
        <v>0</v>
      </c>
      <c r="G329" s="482" t="s">
        <v>20</v>
      </c>
      <c r="H329" s="482">
        <f t="shared" ref="H329" si="20">I329/1000*E329</f>
        <v>0</v>
      </c>
      <c r="I329" s="482">
        <f>'PERKOMODITI 2024'!V378</f>
        <v>0</v>
      </c>
      <c r="J329" s="397">
        <f>'PERKOMODITI 2024'!W378</f>
        <v>0</v>
      </c>
      <c r="K329" s="291"/>
    </row>
    <row r="330" spans="2:11" ht="24.95" customHeight="1">
      <c r="B330" s="26">
        <v>10</v>
      </c>
      <c r="C330" s="90" t="s">
        <v>26</v>
      </c>
      <c r="D330" s="482">
        <f>'PERKOMODITI 2024'!Q242</f>
        <v>0</v>
      </c>
      <c r="E330" s="482">
        <f>'PERKOMODITI 2024'!R242</f>
        <v>0</v>
      </c>
      <c r="F330" s="535">
        <f>'PERKOMODITI 2024'!S242</f>
        <v>0</v>
      </c>
      <c r="G330" s="498" t="s">
        <v>20</v>
      </c>
      <c r="H330" s="498" t="s">
        <v>20</v>
      </c>
      <c r="I330" s="535">
        <f>'PERKOMODITI 2024'!V242</f>
        <v>0</v>
      </c>
      <c r="J330" s="397">
        <f>'PERKOMODITI 2024'!W242</f>
        <v>0</v>
      </c>
      <c r="K330" s="291"/>
    </row>
    <row r="331" spans="2:11" ht="24.95" customHeight="1">
      <c r="B331" s="26">
        <v>11</v>
      </c>
      <c r="C331" s="90" t="s">
        <v>27</v>
      </c>
      <c r="D331" s="535">
        <f>'PERKOMODITI 2024'!Q333</f>
        <v>0</v>
      </c>
      <c r="E331" s="535">
        <f>'PERKOMODITI 2024'!R333</f>
        <v>0</v>
      </c>
      <c r="F331" s="535">
        <f>'PERKOMODITI 2024'!S333</f>
        <v>0</v>
      </c>
      <c r="G331" s="482" t="s">
        <v>20</v>
      </c>
      <c r="H331" s="482" t="s">
        <v>20</v>
      </c>
      <c r="I331" s="535">
        <f>'PERKOMODITI 2024'!V333</f>
        <v>0</v>
      </c>
      <c r="J331" s="397">
        <f>'PERKOMODITI 2024'!W333</f>
        <v>0</v>
      </c>
      <c r="K331" s="291"/>
    </row>
    <row r="332" spans="2:11" ht="24.95" customHeight="1">
      <c r="B332" s="26">
        <v>12</v>
      </c>
      <c r="C332" s="105" t="s">
        <v>28</v>
      </c>
      <c r="D332" s="482">
        <f>'PERKOMODITI 2024'!Q1056</f>
        <v>0</v>
      </c>
      <c r="E332" s="482">
        <f>'PERKOMODITI 2024'!R1056</f>
        <v>0</v>
      </c>
      <c r="F332" s="482">
        <f>'PERKOMODITI 2024'!S1056</f>
        <v>0</v>
      </c>
      <c r="G332" s="498" t="s">
        <v>20</v>
      </c>
      <c r="H332" s="498" t="s">
        <v>20</v>
      </c>
      <c r="I332" s="482">
        <f>'PERKOMODITI 2024'!V1056</f>
        <v>0</v>
      </c>
      <c r="J332" s="397">
        <f>'PERKOMODITI 2024'!W1056</f>
        <v>0</v>
      </c>
      <c r="K332" s="126"/>
    </row>
    <row r="333" spans="2:11" ht="24.95" customHeight="1">
      <c r="B333" s="26">
        <v>13</v>
      </c>
      <c r="C333" s="90" t="s">
        <v>29</v>
      </c>
      <c r="D333" s="482">
        <f>'PERKOMODITI 2024'!Q1057</f>
        <v>0</v>
      </c>
      <c r="E333" s="482">
        <f>'PERKOMODITI 2024'!R1057</f>
        <v>0</v>
      </c>
      <c r="F333" s="482">
        <f>'PERKOMODITI 2024'!S1057</f>
        <v>0</v>
      </c>
      <c r="G333" s="498" t="s">
        <v>20</v>
      </c>
      <c r="H333" s="498" t="s">
        <v>20</v>
      </c>
      <c r="I333" s="482">
        <f>'PERKOMODITI 2024'!V1057</f>
        <v>0</v>
      </c>
      <c r="J333" s="397">
        <f>'PERKOMODITI 2024'!W1057</f>
        <v>0</v>
      </c>
      <c r="K333" s="291"/>
    </row>
    <row r="334" spans="2:11" ht="24.95" customHeight="1">
      <c r="B334" s="26">
        <v>14</v>
      </c>
      <c r="C334" s="483" t="s">
        <v>30</v>
      </c>
      <c r="D334" s="482">
        <f>'PERKOMODITI 2024'!Q985</f>
        <v>0</v>
      </c>
      <c r="E334" s="482">
        <f>'PERKOMODITI 2024'!R985</f>
        <v>0</v>
      </c>
      <c r="F334" s="482">
        <f>'PERKOMODITI 2024'!S985</f>
        <v>0</v>
      </c>
      <c r="G334" s="498" t="s">
        <v>20</v>
      </c>
      <c r="H334" s="498" t="s">
        <v>20</v>
      </c>
      <c r="I334" s="482">
        <f>'PERKOMODITI 2024'!V985</f>
        <v>0</v>
      </c>
      <c r="J334" s="397">
        <f>'PERKOMODITI 2024'!W985</f>
        <v>0</v>
      </c>
      <c r="K334" s="291"/>
    </row>
    <row r="335" spans="2:11" ht="24.95" customHeight="1">
      <c r="B335" s="26">
        <v>15</v>
      </c>
      <c r="C335" s="483" t="s">
        <v>31</v>
      </c>
      <c r="D335" s="482">
        <f>'PERKOMODITI 2024'!Q986</f>
        <v>0</v>
      </c>
      <c r="E335" s="482">
        <f>'PERKOMODITI 2024'!R986</f>
        <v>0</v>
      </c>
      <c r="F335" s="482">
        <f>'PERKOMODITI 2024'!S986</f>
        <v>0</v>
      </c>
      <c r="G335" s="498" t="s">
        <v>20</v>
      </c>
      <c r="H335" s="498" t="s">
        <v>20</v>
      </c>
      <c r="I335" s="482">
        <f>'PERKOMODITI 2024'!V986</f>
        <v>0</v>
      </c>
      <c r="J335" s="397">
        <f>'PERKOMODITI 2024'!W986</f>
        <v>0</v>
      </c>
      <c r="K335" s="291"/>
    </row>
    <row r="336" spans="2:11" ht="24.95" customHeight="1">
      <c r="B336" s="111">
        <v>16</v>
      </c>
      <c r="C336" s="485" t="s">
        <v>32</v>
      </c>
      <c r="D336" s="525" t="s">
        <v>20</v>
      </c>
      <c r="E336" s="525" t="s">
        <v>20</v>
      </c>
      <c r="F336" s="525" t="s">
        <v>20</v>
      </c>
      <c r="G336" s="525" t="s">
        <v>20</v>
      </c>
      <c r="H336" s="525" t="s">
        <v>20</v>
      </c>
      <c r="I336" s="525" t="s">
        <v>20</v>
      </c>
      <c r="J336" s="528" t="s">
        <v>20</v>
      </c>
      <c r="K336" s="529"/>
    </row>
    <row r="337" spans="2:11" ht="24.95" customHeight="1"/>
    <row r="338" spans="2:11" ht="13.5" customHeight="1">
      <c r="H338" s="489" t="s">
        <v>12</v>
      </c>
      <c r="I338" s="636" t="s">
        <v>33</v>
      </c>
      <c r="J338" s="636"/>
      <c r="K338" s="636"/>
    </row>
    <row r="339" spans="2:11" ht="13.5" customHeight="1">
      <c r="H339" s="492" t="s">
        <v>13</v>
      </c>
      <c r="I339" s="636" t="s">
        <v>34</v>
      </c>
      <c r="J339" s="636"/>
      <c r="K339" s="636"/>
    </row>
    <row r="340" spans="2:11" ht="13.5" customHeight="1">
      <c r="H340" s="489" t="s">
        <v>14</v>
      </c>
      <c r="I340" s="636" t="s">
        <v>35</v>
      </c>
      <c r="J340" s="636"/>
      <c r="K340" s="636"/>
    </row>
    <row r="341" spans="2:11" ht="24.95" customHeight="1">
      <c r="H341" s="637"/>
      <c r="I341" s="637"/>
      <c r="J341" s="637"/>
      <c r="K341" s="637"/>
    </row>
    <row r="342" spans="2:11" ht="24.95" customHeight="1">
      <c r="C342" s="44" t="s">
        <v>36</v>
      </c>
      <c r="D342" s="494"/>
      <c r="E342" s="494"/>
      <c r="F342" s="494"/>
      <c r="H342" s="638"/>
      <c r="I342" s="638"/>
      <c r="J342" s="638"/>
      <c r="K342" s="638"/>
    </row>
    <row r="343" spans="2:11" ht="24.95" customHeight="1">
      <c r="C343" s="263"/>
      <c r="D343" s="494"/>
      <c r="E343" s="494"/>
      <c r="F343" s="494"/>
      <c r="H343" s="638"/>
      <c r="I343" s="638"/>
      <c r="J343" s="638"/>
      <c r="K343" s="638"/>
    </row>
    <row r="344" spans="2:11" ht="7.5" customHeight="1">
      <c r="C344" s="45"/>
      <c r="D344" s="494"/>
      <c r="E344" s="494"/>
      <c r="F344" s="494"/>
      <c r="H344" s="494"/>
      <c r="I344" s="494"/>
      <c r="J344" s="506"/>
      <c r="K344" s="45"/>
    </row>
    <row r="345" spans="2:11" ht="12" customHeight="1">
      <c r="C345" s="45"/>
      <c r="D345" s="494"/>
      <c r="E345" s="494"/>
      <c r="F345" s="494"/>
      <c r="H345" s="494"/>
      <c r="I345" s="494"/>
      <c r="J345" s="506"/>
      <c r="K345" s="45"/>
    </row>
    <row r="346" spans="2:11" ht="24.95" customHeight="1">
      <c r="C346" s="495" t="s">
        <v>54</v>
      </c>
      <c r="D346" s="496"/>
      <c r="E346" s="496"/>
      <c r="F346" s="496"/>
      <c r="H346" s="653"/>
      <c r="I346" s="653"/>
      <c r="J346" s="653"/>
      <c r="K346" s="653"/>
    </row>
    <row r="347" spans="2:11" ht="14.25" customHeight="1">
      <c r="C347" s="266"/>
      <c r="H347" s="650"/>
      <c r="I347" s="637"/>
      <c r="J347" s="637"/>
      <c r="K347" s="637"/>
    </row>
    <row r="348" spans="2:11" ht="14.25" customHeight="1">
      <c r="C348" s="266"/>
      <c r="H348" s="47"/>
      <c r="I348" s="48"/>
      <c r="J348" s="48"/>
      <c r="K348" s="48"/>
    </row>
    <row r="349" spans="2:11" ht="14.25" customHeight="1">
      <c r="C349" s="266"/>
      <c r="H349" s="47"/>
      <c r="I349" s="48"/>
      <c r="J349" s="48"/>
      <c r="K349" s="48"/>
    </row>
    <row r="350" spans="2:11" ht="3" customHeight="1">
      <c r="H350" s="526"/>
      <c r="I350" s="526"/>
      <c r="J350" s="530"/>
      <c r="K350" s="531"/>
    </row>
    <row r="351" spans="2:11" ht="15" customHeight="1"/>
    <row r="352" spans="2:11" ht="24.95" customHeight="1">
      <c r="B352" s="632" t="s">
        <v>0</v>
      </c>
      <c r="C352" s="632"/>
      <c r="D352" s="632"/>
      <c r="E352" s="632"/>
      <c r="F352" s="632"/>
      <c r="G352" s="632"/>
      <c r="H352" s="632"/>
      <c r="I352" s="632"/>
      <c r="J352" s="632"/>
      <c r="K352" s="632"/>
    </row>
    <row r="353" spans="2:12" ht="24.95" customHeight="1">
      <c r="B353" s="632" t="s">
        <v>1</v>
      </c>
      <c r="C353" s="632"/>
      <c r="D353" s="632"/>
      <c r="E353" s="632"/>
      <c r="F353" s="632"/>
      <c r="G353" s="632"/>
      <c r="H353" s="632"/>
      <c r="I353" s="632"/>
      <c r="J353" s="632"/>
      <c r="K353" s="632"/>
    </row>
    <row r="354" spans="2:12" ht="24.95" customHeight="1">
      <c r="B354" s="632" t="s">
        <v>313</v>
      </c>
      <c r="C354" s="632"/>
      <c r="D354" s="632"/>
      <c r="E354" s="632"/>
      <c r="F354" s="632"/>
      <c r="G354" s="632"/>
      <c r="H354" s="632"/>
      <c r="I354" s="632"/>
      <c r="J354" s="632"/>
      <c r="K354" s="632"/>
    </row>
    <row r="355" spans="2:12" ht="24.95" customHeight="1">
      <c r="B355" s="82"/>
      <c r="C355" s="82"/>
      <c r="D355" s="478"/>
      <c r="E355" s="478"/>
      <c r="F355" s="478"/>
      <c r="G355" s="478"/>
      <c r="H355" s="478"/>
      <c r="I355" s="478"/>
      <c r="J355" s="296"/>
      <c r="K355" s="82"/>
    </row>
    <row r="356" spans="2:12" ht="24.95" customHeight="1">
      <c r="B356" t="s">
        <v>2</v>
      </c>
      <c r="D356" s="477" t="s">
        <v>55</v>
      </c>
    </row>
    <row r="357" spans="2:12" ht="24.95" customHeight="1"/>
    <row r="358" spans="2:12" ht="24.95" customHeight="1">
      <c r="B358" s="657" t="s">
        <v>4</v>
      </c>
      <c r="C358" s="654" t="s">
        <v>5</v>
      </c>
      <c r="D358" s="633" t="s">
        <v>6</v>
      </c>
      <c r="E358" s="634"/>
      <c r="F358" s="635"/>
      <c r="G358" s="639" t="s">
        <v>7</v>
      </c>
      <c r="H358" s="639" t="s">
        <v>8</v>
      </c>
      <c r="I358" s="639" t="s">
        <v>9</v>
      </c>
      <c r="J358" s="642" t="s">
        <v>10</v>
      </c>
      <c r="K358" s="645" t="s">
        <v>11</v>
      </c>
    </row>
    <row r="359" spans="2:12" ht="24.95" customHeight="1">
      <c r="B359" s="658"/>
      <c r="C359" s="655"/>
      <c r="D359" s="630" t="s">
        <v>12</v>
      </c>
      <c r="E359" s="630" t="s">
        <v>13</v>
      </c>
      <c r="F359" s="630" t="s">
        <v>14</v>
      </c>
      <c r="G359" s="640"/>
      <c r="H359" s="640"/>
      <c r="I359" s="640"/>
      <c r="J359" s="643"/>
      <c r="K359" s="646"/>
    </row>
    <row r="360" spans="2:12" ht="24.95" customHeight="1">
      <c r="B360" s="659"/>
      <c r="C360" s="656"/>
      <c r="D360" s="631"/>
      <c r="E360" s="631"/>
      <c r="F360" s="631"/>
      <c r="G360" s="641"/>
      <c r="H360" s="641"/>
      <c r="I360" s="641"/>
      <c r="J360" s="644"/>
      <c r="K360" s="647"/>
    </row>
    <row r="361" spans="2:12" ht="24.95" customHeight="1">
      <c r="B361" s="83">
        <v>1</v>
      </c>
      <c r="C361" s="84">
        <v>2</v>
      </c>
      <c r="D361" s="479">
        <v>3</v>
      </c>
      <c r="E361" s="479">
        <v>4</v>
      </c>
      <c r="F361" s="479">
        <v>5</v>
      </c>
      <c r="G361" s="479">
        <v>6</v>
      </c>
      <c r="H361" s="479">
        <v>7</v>
      </c>
      <c r="I361" s="479">
        <v>8</v>
      </c>
      <c r="J361" s="84">
        <v>9</v>
      </c>
      <c r="K361" s="119">
        <v>10</v>
      </c>
      <c r="L361" s="202"/>
    </row>
    <row r="362" spans="2:12" ht="24.95" customHeight="1">
      <c r="B362" s="134">
        <v>1</v>
      </c>
      <c r="C362" s="480" t="s">
        <v>15</v>
      </c>
      <c r="D362" s="497">
        <f>'PERKOMODITI 2024'!C19</f>
        <v>5</v>
      </c>
      <c r="E362" s="497">
        <f>'PERKOMODITI 2024'!D19</f>
        <v>22</v>
      </c>
      <c r="F362" s="497">
        <f>'PERKOMODITI 2024'!E19</f>
        <v>38</v>
      </c>
      <c r="G362" s="497">
        <f t="shared" ref="G362:G366" si="21">F362+E362+D362</f>
        <v>65</v>
      </c>
      <c r="H362" s="497">
        <f t="shared" ref="H362" si="22">I362/1000*E362</f>
        <v>19.866</v>
      </c>
      <c r="I362" s="497">
        <f>'PERKOMODITI 2024'!H19</f>
        <v>903</v>
      </c>
      <c r="J362" s="497">
        <f>'PERKOMODITI 2024'!I19</f>
        <v>33</v>
      </c>
      <c r="K362" s="388"/>
    </row>
    <row r="363" spans="2:12" ht="24.95" customHeight="1">
      <c r="B363" s="26">
        <v>2</v>
      </c>
      <c r="C363" s="90" t="s">
        <v>16</v>
      </c>
      <c r="D363" s="535">
        <f>'PERKOMODITI 2024'!Q66</f>
        <v>0</v>
      </c>
      <c r="E363" s="535">
        <f>'PERKOMODITI 2024'!R66</f>
        <v>0</v>
      </c>
      <c r="F363" s="540">
        <f>'PERKOMODITI 2024'!S66</f>
        <v>0</v>
      </c>
      <c r="G363" s="482" t="s">
        <v>20</v>
      </c>
      <c r="H363" s="482" t="s">
        <v>20</v>
      </c>
      <c r="I363" s="535">
        <f>'PERKOMODITI 2024'!V66</f>
        <v>0</v>
      </c>
      <c r="J363" s="541">
        <f>'PERKOMODITI 2024'!W66</f>
        <v>0</v>
      </c>
      <c r="K363" s="515"/>
    </row>
    <row r="364" spans="2:12" ht="24.95" customHeight="1">
      <c r="B364" s="26">
        <v>3</v>
      </c>
      <c r="C364" s="90" t="s">
        <v>17</v>
      </c>
      <c r="D364" s="482">
        <f>'PERKOMODITI 2024'!C196</f>
        <v>76</v>
      </c>
      <c r="E364" s="482">
        <f>'PERKOMODITI 2024'!D196</f>
        <v>420</v>
      </c>
      <c r="F364" s="482">
        <f>'PERKOMODITI 2024'!E196</f>
        <v>1042</v>
      </c>
      <c r="G364" s="482">
        <f t="shared" si="21"/>
        <v>1538</v>
      </c>
      <c r="H364" s="482">
        <f>I364/1000*E364</f>
        <v>378</v>
      </c>
      <c r="I364" s="482">
        <f>'PERKOMODITI 2024'!H196</f>
        <v>900</v>
      </c>
      <c r="J364" s="482">
        <f>'PERKOMODITI 2024'!I196</f>
        <v>376</v>
      </c>
      <c r="K364" s="515"/>
    </row>
    <row r="365" spans="2:12" ht="24.95" customHeight="1">
      <c r="B365" s="26">
        <v>4</v>
      </c>
      <c r="C365" s="90" t="s">
        <v>19</v>
      </c>
      <c r="D365" s="482">
        <f>'PERKOMODITI 2024'!Q289</f>
        <v>0</v>
      </c>
      <c r="E365" s="482">
        <f>'PERKOMODITI 2024'!R289</f>
        <v>0</v>
      </c>
      <c r="F365" s="535" t="str">
        <f>'PERKOMODITI 2024'!S289</f>
        <v>-</v>
      </c>
      <c r="G365" s="482" t="s">
        <v>20</v>
      </c>
      <c r="H365" s="482">
        <f>I365/1000*E365</f>
        <v>0</v>
      </c>
      <c r="I365" s="482">
        <f>'PERKOMODITI 2024'!V289</f>
        <v>0</v>
      </c>
      <c r="J365" s="541" t="str">
        <f>'PERKOMODITI 2024'!W289</f>
        <v>-</v>
      </c>
      <c r="K365" s="515"/>
    </row>
    <row r="366" spans="2:12" ht="24.95" customHeight="1">
      <c r="B366" s="26">
        <v>5</v>
      </c>
      <c r="C366" s="90" t="s">
        <v>21</v>
      </c>
      <c r="D366" s="482">
        <f>'PERKOMODITI 2024'!C149</f>
        <v>24</v>
      </c>
      <c r="E366" s="482">
        <f>'PERKOMODITI 2024'!D149</f>
        <v>15</v>
      </c>
      <c r="F366" s="482">
        <f>'PERKOMODITI 2024'!E149</f>
        <v>1.4</v>
      </c>
      <c r="G366" s="482">
        <f t="shared" si="21"/>
        <v>40.4</v>
      </c>
      <c r="H366" s="482">
        <f t="shared" ref="H366:H368" si="23">I366/1000*E366</f>
        <v>6</v>
      </c>
      <c r="I366" s="482">
        <f>'PERKOMODITI 2024'!H149</f>
        <v>400</v>
      </c>
      <c r="J366" s="482">
        <f>'PERKOMODITI 2024'!I149</f>
        <v>93</v>
      </c>
      <c r="K366" s="515"/>
    </row>
    <row r="367" spans="2:12" ht="24.95" customHeight="1">
      <c r="B367" s="26">
        <v>6</v>
      </c>
      <c r="C367" s="90" t="s">
        <v>22</v>
      </c>
      <c r="D367" s="482" t="s">
        <v>20</v>
      </c>
      <c r="E367" s="482" t="s">
        <v>20</v>
      </c>
      <c r="F367" s="482">
        <v>0</v>
      </c>
      <c r="G367" s="482" t="s">
        <v>20</v>
      </c>
      <c r="H367" s="482" t="s">
        <v>20</v>
      </c>
      <c r="I367" s="482" t="s">
        <v>20</v>
      </c>
      <c r="J367" s="397" t="s">
        <v>20</v>
      </c>
      <c r="K367" s="515"/>
    </row>
    <row r="368" spans="2:12" ht="24.95" customHeight="1">
      <c r="B368" s="26">
        <v>7</v>
      </c>
      <c r="C368" s="90" t="s">
        <v>23</v>
      </c>
      <c r="D368" s="482">
        <f>'PERKOMODITI 2024'!C104</f>
        <v>1</v>
      </c>
      <c r="E368" s="482">
        <f>'PERKOMODITI 2024'!D104</f>
        <v>3</v>
      </c>
      <c r="F368" s="482">
        <f>'PERKOMODITI 2024'!E104</f>
        <v>20</v>
      </c>
      <c r="G368" s="482">
        <f t="shared" ref="G368:G370" si="24">F368+E368+D368</f>
        <v>24</v>
      </c>
      <c r="H368" s="482">
        <f t="shared" si="23"/>
        <v>2.6040000000000001</v>
      </c>
      <c r="I368" s="482">
        <f>'PERKOMODITI 2024'!H104</f>
        <v>868</v>
      </c>
      <c r="J368" s="482">
        <f>'PERKOMODITI 2024'!I104</f>
        <v>24</v>
      </c>
      <c r="K368" s="388"/>
    </row>
    <row r="369" spans="2:11" ht="24.95" customHeight="1">
      <c r="B369" s="26">
        <v>8</v>
      </c>
      <c r="C369" s="90" t="s">
        <v>30</v>
      </c>
      <c r="D369" s="482">
        <v>0</v>
      </c>
      <c r="E369" s="482">
        <v>0</v>
      </c>
      <c r="F369" s="482">
        <v>0</v>
      </c>
      <c r="G369" s="482">
        <f t="shared" si="24"/>
        <v>0</v>
      </c>
      <c r="H369" s="482">
        <v>0</v>
      </c>
      <c r="I369" s="536" t="s">
        <v>20</v>
      </c>
      <c r="J369" s="541" t="s">
        <v>20</v>
      </c>
      <c r="K369" s="515"/>
    </row>
    <row r="370" spans="2:11" ht="24.95" customHeight="1">
      <c r="B370" s="26">
        <v>9</v>
      </c>
      <c r="C370" s="90" t="s">
        <v>25</v>
      </c>
      <c r="D370" s="482">
        <v>0</v>
      </c>
      <c r="E370" s="482">
        <v>0</v>
      </c>
      <c r="F370" s="482">
        <v>0</v>
      </c>
      <c r="G370" s="482">
        <f t="shared" si="24"/>
        <v>0</v>
      </c>
      <c r="H370" s="482">
        <v>0</v>
      </c>
      <c r="I370" s="482" t="s">
        <v>20</v>
      </c>
      <c r="J370" s="541" t="s">
        <v>20</v>
      </c>
      <c r="K370" s="515"/>
    </row>
    <row r="371" spans="2:11" ht="24.95" customHeight="1">
      <c r="B371" s="26">
        <v>10</v>
      </c>
      <c r="C371" s="90" t="s">
        <v>26</v>
      </c>
      <c r="D371" s="535">
        <f>'PERKOMODITI 2024'!Q243</f>
        <v>0</v>
      </c>
      <c r="E371" s="535">
        <f>'PERKOMODITI 2024'!R243</f>
        <v>0</v>
      </c>
      <c r="F371" s="535">
        <f>'PERKOMODITI 2024'!S243</f>
        <v>0</v>
      </c>
      <c r="G371" s="498" t="s">
        <v>20</v>
      </c>
      <c r="H371" s="498" t="s">
        <v>20</v>
      </c>
      <c r="I371" s="535">
        <f>'PERKOMODITI 2024'!V243</f>
        <v>0</v>
      </c>
      <c r="J371" s="541">
        <f>'PERKOMODITI 2024'!W243</f>
        <v>0</v>
      </c>
      <c r="K371" s="515"/>
    </row>
    <row r="372" spans="2:11" ht="24.95" customHeight="1">
      <c r="B372" s="26">
        <v>11</v>
      </c>
      <c r="C372" s="90" t="s">
        <v>27</v>
      </c>
      <c r="D372" s="535">
        <f>'PERKOMODITI 2024'!Q334</f>
        <v>0</v>
      </c>
      <c r="E372" s="535">
        <f>'PERKOMODITI 2024'!R334</f>
        <v>0</v>
      </c>
      <c r="F372" s="535">
        <f>'PERKOMODITI 2024'!S334</f>
        <v>0</v>
      </c>
      <c r="G372" s="482" t="s">
        <v>20</v>
      </c>
      <c r="H372" s="482" t="s">
        <v>20</v>
      </c>
      <c r="I372" s="535">
        <f>'PERKOMODITI 2024'!V334</f>
        <v>0</v>
      </c>
      <c r="J372" s="541">
        <f>'PERKOMODITI 2024'!W334</f>
        <v>0</v>
      </c>
      <c r="K372" s="515"/>
    </row>
    <row r="373" spans="2:11" ht="24.95" customHeight="1">
      <c r="B373" s="26">
        <v>12</v>
      </c>
      <c r="C373" s="105" t="s">
        <v>28</v>
      </c>
      <c r="D373" s="482">
        <f>'PERKOMODITI 2024'!C497</f>
        <v>56</v>
      </c>
      <c r="E373" s="482">
        <f>'PERKOMODITI 2024'!D497</f>
        <v>113</v>
      </c>
      <c r="F373" s="482">
        <f>'PERKOMODITI 2024'!E497</f>
        <v>146</v>
      </c>
      <c r="G373" s="498">
        <f>F373+E373+D373</f>
        <v>315</v>
      </c>
      <c r="H373" s="482">
        <f t="shared" ref="H373" si="25">I373/1000*E373</f>
        <v>50.058999999999997</v>
      </c>
      <c r="I373" s="482">
        <f>'PERKOMODITI 2024'!H497</f>
        <v>443</v>
      </c>
      <c r="J373" s="482">
        <f>'PERKOMODITI 2024'!I497</f>
        <v>125</v>
      </c>
      <c r="K373" s="126"/>
    </row>
    <row r="374" spans="2:11" ht="24.95" customHeight="1">
      <c r="B374" s="26">
        <v>13</v>
      </c>
      <c r="C374" s="90" t="s">
        <v>29</v>
      </c>
      <c r="D374" s="482">
        <f>'PERKOMODITI 2024'!C542</f>
        <v>0</v>
      </c>
      <c r="E374" s="482">
        <f>'PERKOMODITI 2024'!D542</f>
        <v>5</v>
      </c>
      <c r="F374" s="482">
        <f>'PERKOMODITI 2024'!E542</f>
        <v>6</v>
      </c>
      <c r="G374" s="498">
        <f>F374+E374+D374</f>
        <v>11</v>
      </c>
      <c r="H374" s="482">
        <f t="shared" ref="H374" si="26">I374/1000*E374</f>
        <v>1.5</v>
      </c>
      <c r="I374" s="482">
        <f>'PERKOMODITI 2024'!H542</f>
        <v>300</v>
      </c>
      <c r="J374" s="482">
        <f>'PERKOMODITI 2024'!I542</f>
        <v>12</v>
      </c>
      <c r="K374" s="515"/>
    </row>
    <row r="375" spans="2:11" ht="24.95" customHeight="1">
      <c r="B375" s="26">
        <v>14</v>
      </c>
      <c r="C375" s="483" t="s">
        <v>30</v>
      </c>
      <c r="D375" s="482">
        <f>'PERKOMODITI 2024'!Q1043</f>
        <v>0</v>
      </c>
      <c r="E375" s="482">
        <f>'PERKOMODITI 2024'!R1043</f>
        <v>0</v>
      </c>
      <c r="F375" s="482">
        <f>'PERKOMODITI 2024'!S1043</f>
        <v>0</v>
      </c>
      <c r="G375" s="498" t="s">
        <v>20</v>
      </c>
      <c r="H375" s="498" t="s">
        <v>20</v>
      </c>
      <c r="I375" s="482">
        <f>'PERKOMODITI 2024'!V1043</f>
        <v>0</v>
      </c>
      <c r="J375" s="397">
        <f>'PERKOMODITI 2024'!W1043</f>
        <v>0</v>
      </c>
      <c r="K375" s="515"/>
    </row>
    <row r="376" spans="2:11" ht="24.95" customHeight="1">
      <c r="B376" s="26">
        <v>15</v>
      </c>
      <c r="C376" s="483" t="s">
        <v>31</v>
      </c>
      <c r="D376" s="482">
        <f>'PERKOMODITI 2024'!Q1044</f>
        <v>0</v>
      </c>
      <c r="E376" s="482">
        <f>'PERKOMODITI 2024'!R1044</f>
        <v>0</v>
      </c>
      <c r="F376" s="482">
        <f>'PERKOMODITI 2024'!S1044</f>
        <v>0</v>
      </c>
      <c r="G376" s="498" t="s">
        <v>20</v>
      </c>
      <c r="H376" s="498" t="s">
        <v>20</v>
      </c>
      <c r="I376" s="482">
        <f>'PERKOMODITI 2024'!V1044</f>
        <v>0</v>
      </c>
      <c r="J376" s="397">
        <f>'PERKOMODITI 2024'!W1044</f>
        <v>0</v>
      </c>
      <c r="K376" s="515"/>
    </row>
    <row r="377" spans="2:11" ht="24.95" customHeight="1">
      <c r="B377" s="111">
        <v>16</v>
      </c>
      <c r="C377" s="485" t="s">
        <v>32</v>
      </c>
      <c r="D377" s="525" t="s">
        <v>20</v>
      </c>
      <c r="E377" s="525" t="s">
        <v>20</v>
      </c>
      <c r="F377" s="525" t="s">
        <v>20</v>
      </c>
      <c r="G377" s="525" t="s">
        <v>20</v>
      </c>
      <c r="H377" s="525" t="s">
        <v>20</v>
      </c>
      <c r="I377" s="525" t="s">
        <v>20</v>
      </c>
      <c r="J377" s="528" t="s">
        <v>20</v>
      </c>
      <c r="K377" s="532"/>
    </row>
    <row r="378" spans="2:11" ht="24.95" customHeight="1"/>
    <row r="379" spans="2:11" ht="18" customHeight="1">
      <c r="H379" s="489" t="s">
        <v>12</v>
      </c>
      <c r="I379" s="636" t="s">
        <v>33</v>
      </c>
      <c r="J379" s="636"/>
      <c r="K379" s="636"/>
    </row>
    <row r="380" spans="2:11" ht="18" customHeight="1">
      <c r="H380" s="492" t="s">
        <v>13</v>
      </c>
      <c r="I380" s="636" t="s">
        <v>34</v>
      </c>
      <c r="J380" s="636"/>
      <c r="K380" s="636"/>
    </row>
    <row r="381" spans="2:11" ht="18" customHeight="1">
      <c r="H381" s="489" t="s">
        <v>14</v>
      </c>
      <c r="I381" s="636" t="s">
        <v>35</v>
      </c>
      <c r="J381" s="636"/>
      <c r="K381" s="636"/>
    </row>
    <row r="382" spans="2:11" ht="24.95" customHeight="1">
      <c r="H382" s="637"/>
      <c r="I382" s="637"/>
      <c r="J382" s="637"/>
      <c r="K382" s="637"/>
    </row>
    <row r="383" spans="2:11" ht="24.95" customHeight="1">
      <c r="C383" s="44" t="s">
        <v>36</v>
      </c>
      <c r="D383" s="494"/>
      <c r="E383" s="494"/>
      <c r="F383" s="494"/>
      <c r="H383" s="638"/>
      <c r="I383" s="638"/>
      <c r="J383" s="638"/>
      <c r="K383" s="638"/>
    </row>
    <row r="384" spans="2:11" ht="15.75" customHeight="1">
      <c r="C384" s="263"/>
      <c r="D384" s="494"/>
      <c r="E384" s="494"/>
      <c r="F384" s="494"/>
      <c r="H384" s="638"/>
      <c r="I384" s="638"/>
      <c r="J384" s="638"/>
      <c r="K384" s="638"/>
    </row>
    <row r="385" spans="2:11" ht="9" customHeight="1">
      <c r="C385" s="45"/>
      <c r="D385" s="494"/>
      <c r="E385" s="494"/>
      <c r="F385" s="494"/>
      <c r="H385" s="494"/>
      <c r="I385" s="494"/>
      <c r="J385" s="506"/>
      <c r="K385" s="45"/>
    </row>
    <row r="386" spans="2:11" ht="14.25" customHeight="1">
      <c r="C386" s="45"/>
      <c r="D386" s="494"/>
      <c r="E386" s="494"/>
      <c r="F386" s="494"/>
      <c r="H386" s="494"/>
      <c r="I386" s="494"/>
      <c r="J386" s="506"/>
      <c r="K386" s="45"/>
    </row>
    <row r="387" spans="2:11" ht="24.95" customHeight="1">
      <c r="C387" s="495" t="s">
        <v>56</v>
      </c>
      <c r="D387" s="496"/>
      <c r="E387" s="496"/>
      <c r="F387" s="496"/>
      <c r="H387" s="653"/>
      <c r="I387" s="653"/>
      <c r="J387" s="653"/>
      <c r="K387" s="653"/>
    </row>
    <row r="388" spans="2:11" ht="16.5" customHeight="1">
      <c r="C388" s="266"/>
      <c r="H388" s="650"/>
      <c r="I388" s="637"/>
      <c r="J388" s="637"/>
      <c r="K388" s="637"/>
    </row>
    <row r="389" spans="2:11" ht="15.75" customHeight="1">
      <c r="C389" s="266"/>
      <c r="H389" s="47"/>
      <c r="I389" s="48"/>
      <c r="J389" s="48"/>
      <c r="K389" s="48"/>
    </row>
    <row r="390" spans="2:11" ht="24.95" customHeight="1">
      <c r="B390" s="632" t="s">
        <v>0</v>
      </c>
      <c r="C390" s="632"/>
      <c r="D390" s="632"/>
      <c r="E390" s="632"/>
      <c r="F390" s="632"/>
      <c r="G390" s="632"/>
      <c r="H390" s="632"/>
      <c r="I390" s="632"/>
      <c r="J390" s="632"/>
      <c r="K390" s="632"/>
    </row>
    <row r="391" spans="2:11" ht="24.95" customHeight="1">
      <c r="B391" s="632" t="s">
        <v>1</v>
      </c>
      <c r="C391" s="632"/>
      <c r="D391" s="632"/>
      <c r="E391" s="632"/>
      <c r="F391" s="632"/>
      <c r="G391" s="632"/>
      <c r="H391" s="632"/>
      <c r="I391" s="632"/>
      <c r="J391" s="632"/>
      <c r="K391" s="632"/>
    </row>
    <row r="392" spans="2:11" ht="24.95" customHeight="1">
      <c r="B392" s="632" t="s">
        <v>313</v>
      </c>
      <c r="C392" s="632"/>
      <c r="D392" s="632"/>
      <c r="E392" s="632"/>
      <c r="F392" s="632"/>
      <c r="G392" s="632"/>
      <c r="H392" s="632"/>
      <c r="I392" s="632"/>
      <c r="J392" s="632"/>
      <c r="K392" s="632"/>
    </row>
    <row r="393" spans="2:11" ht="24.95" customHeight="1">
      <c r="B393" s="82"/>
      <c r="C393" s="82"/>
      <c r="D393" s="478"/>
      <c r="E393" s="478"/>
      <c r="F393" s="478"/>
      <c r="G393" s="478"/>
      <c r="H393" s="478"/>
      <c r="I393" s="478"/>
      <c r="J393" s="296"/>
      <c r="K393" s="82"/>
    </row>
    <row r="394" spans="2:11" ht="24.95" customHeight="1">
      <c r="B394" s="2" t="s">
        <v>2</v>
      </c>
      <c r="C394" s="2"/>
      <c r="D394" s="477" t="s">
        <v>57</v>
      </c>
    </row>
    <row r="395" spans="2:11" ht="24.95" customHeight="1"/>
    <row r="396" spans="2:11" ht="24.95" customHeight="1">
      <c r="B396" s="657" t="s">
        <v>4</v>
      </c>
      <c r="C396" s="654" t="s">
        <v>5</v>
      </c>
      <c r="D396" s="633" t="s">
        <v>6</v>
      </c>
      <c r="E396" s="634"/>
      <c r="F396" s="635"/>
      <c r="G396" s="639" t="s">
        <v>7</v>
      </c>
      <c r="H396" s="639" t="s">
        <v>8</v>
      </c>
      <c r="I396" s="639" t="s">
        <v>9</v>
      </c>
      <c r="J396" s="642" t="s">
        <v>10</v>
      </c>
      <c r="K396" s="645" t="s">
        <v>11</v>
      </c>
    </row>
    <row r="397" spans="2:11" ht="24.95" customHeight="1">
      <c r="B397" s="658"/>
      <c r="C397" s="655"/>
      <c r="D397" s="630" t="s">
        <v>12</v>
      </c>
      <c r="E397" s="630" t="s">
        <v>13</v>
      </c>
      <c r="F397" s="630" t="s">
        <v>14</v>
      </c>
      <c r="G397" s="640"/>
      <c r="H397" s="640"/>
      <c r="I397" s="640"/>
      <c r="J397" s="643"/>
      <c r="K397" s="646"/>
    </row>
    <row r="398" spans="2:11" ht="24.95" customHeight="1">
      <c r="B398" s="659"/>
      <c r="C398" s="656"/>
      <c r="D398" s="631"/>
      <c r="E398" s="631"/>
      <c r="F398" s="631"/>
      <c r="G398" s="641"/>
      <c r="H398" s="641"/>
      <c r="I398" s="641"/>
      <c r="J398" s="644"/>
      <c r="K398" s="647"/>
    </row>
    <row r="399" spans="2:11" ht="24.95" customHeight="1">
      <c r="B399" s="300">
        <v>1</v>
      </c>
      <c r="C399" s="301">
        <v>2</v>
      </c>
      <c r="D399" s="479">
        <v>3</v>
      </c>
      <c r="E399" s="479">
        <v>4</v>
      </c>
      <c r="F399" s="479">
        <v>5</v>
      </c>
      <c r="G399" s="479">
        <v>6</v>
      </c>
      <c r="H399" s="479">
        <v>7</v>
      </c>
      <c r="I399" s="479">
        <v>8</v>
      </c>
      <c r="J399" s="84">
        <v>9</v>
      </c>
      <c r="K399" s="333">
        <v>10</v>
      </c>
    </row>
    <row r="400" spans="2:11" ht="24.95" customHeight="1">
      <c r="B400" s="134">
        <v>1</v>
      </c>
      <c r="C400" s="533" t="s">
        <v>15</v>
      </c>
      <c r="D400" s="497">
        <f>'PERKOMODITI 2024'!C20</f>
        <v>30</v>
      </c>
      <c r="E400" s="497">
        <f>'PERKOMODITI 2024'!D20</f>
        <v>218</v>
      </c>
      <c r="F400" s="497">
        <f>'PERKOMODITI 2024'!E20</f>
        <v>15</v>
      </c>
      <c r="G400" s="497">
        <f t="shared" ref="G400:G402" si="27">F400+E400+D400</f>
        <v>263</v>
      </c>
      <c r="H400" s="497">
        <f t="shared" ref="H400" si="28">I400/1000*E400</f>
        <v>196.85400000000001</v>
      </c>
      <c r="I400" s="497">
        <f>'PERKOMODITI 2024'!H20</f>
        <v>903</v>
      </c>
      <c r="J400" s="497">
        <f>'PERKOMODITI 2024'!I20</f>
        <v>214</v>
      </c>
      <c r="K400" s="388"/>
    </row>
    <row r="401" spans="2:11" ht="24.95" customHeight="1">
      <c r="B401" s="26">
        <v>2</v>
      </c>
      <c r="C401" s="483" t="s">
        <v>16</v>
      </c>
      <c r="D401" s="535">
        <f>'PERKOMODITI 2024'!Q67</f>
        <v>0</v>
      </c>
      <c r="E401" s="535">
        <f>'PERKOMODITI 2024'!R67</f>
        <v>0</v>
      </c>
      <c r="F401" s="540">
        <f>'PERKOMODITI 2024'!S67</f>
        <v>0</v>
      </c>
      <c r="G401" s="482" t="s">
        <v>20</v>
      </c>
      <c r="H401" s="482" t="s">
        <v>20</v>
      </c>
      <c r="I401" s="535">
        <f>'PERKOMODITI 2024'!V67</f>
        <v>0</v>
      </c>
      <c r="J401" s="541">
        <f>'PERKOMODITI 2024'!W67</f>
        <v>0</v>
      </c>
      <c r="K401" s="515"/>
    </row>
    <row r="402" spans="2:11" ht="24.95" customHeight="1">
      <c r="B402" s="26">
        <v>3</v>
      </c>
      <c r="C402" s="483" t="s">
        <v>17</v>
      </c>
      <c r="D402" s="482">
        <f>'PERKOMODITI 2024'!C197</f>
        <v>99</v>
      </c>
      <c r="E402" s="482">
        <f>'PERKOMODITI 2024'!D197</f>
        <v>267</v>
      </c>
      <c r="F402" s="482">
        <f>'PERKOMODITI 2024'!E197</f>
        <v>380</v>
      </c>
      <c r="G402" s="482">
        <f t="shared" si="27"/>
        <v>746</v>
      </c>
      <c r="H402" s="482">
        <f>I402/1000*E402</f>
        <v>240.3</v>
      </c>
      <c r="I402" s="482">
        <f>'PERKOMODITI 2024'!H197</f>
        <v>900</v>
      </c>
      <c r="J402" s="482">
        <f>'PERKOMODITI 2024'!I197</f>
        <v>779</v>
      </c>
      <c r="K402" s="515"/>
    </row>
    <row r="403" spans="2:11" ht="24.95" customHeight="1">
      <c r="B403" s="26">
        <v>4</v>
      </c>
      <c r="C403" s="483" t="s">
        <v>19</v>
      </c>
      <c r="D403" s="482">
        <f>'PERKOMODITI 2024'!C290</f>
        <v>6</v>
      </c>
      <c r="E403" s="482">
        <f>'PERKOMODITI 2024'!D290</f>
        <v>0</v>
      </c>
      <c r="F403" s="535">
        <f>'PERKOMODITI 2024'!E290</f>
        <v>0</v>
      </c>
      <c r="G403" s="482">
        <f>D403</f>
        <v>6</v>
      </c>
      <c r="H403" s="482">
        <f>I403/1000*E403</f>
        <v>0</v>
      </c>
      <c r="I403" s="482">
        <f>'PERKOMODITI 2024'!H290</f>
        <v>0</v>
      </c>
      <c r="J403" s="482">
        <f>'PERKOMODITI 2024'!I290</f>
        <v>8</v>
      </c>
      <c r="K403" s="515"/>
    </row>
    <row r="404" spans="2:11" ht="24.95" customHeight="1">
      <c r="B404" s="26">
        <v>5</v>
      </c>
      <c r="C404" s="483" t="s">
        <v>21</v>
      </c>
      <c r="D404" s="535">
        <f>'PERKOMODITI 2024'!Q150</f>
        <v>0</v>
      </c>
      <c r="E404" s="535">
        <f>'PERKOMODITI 2024'!R150</f>
        <v>0</v>
      </c>
      <c r="F404" s="535">
        <f>'PERKOMODITI 2024'!S150</f>
        <v>0</v>
      </c>
      <c r="G404" s="482" t="s">
        <v>20</v>
      </c>
      <c r="H404" s="482" t="s">
        <v>20</v>
      </c>
      <c r="I404" s="535">
        <f>'PERKOMODITI 2024'!V150</f>
        <v>0</v>
      </c>
      <c r="J404" s="541">
        <f>'PERKOMODITI 2024'!W150</f>
        <v>0</v>
      </c>
      <c r="K404" s="534"/>
    </row>
    <row r="405" spans="2:11" ht="24.95" customHeight="1">
      <c r="B405" s="26">
        <v>6</v>
      </c>
      <c r="C405" s="483" t="s">
        <v>22</v>
      </c>
      <c r="D405" s="482">
        <f>'PERKOMODITI 2024'!Q423</f>
        <v>0</v>
      </c>
      <c r="E405" s="482">
        <f>'PERKOMODITI 2024'!R423</f>
        <v>0</v>
      </c>
      <c r="F405" s="482">
        <f>'PERKOMODITI 2024'!S423</f>
        <v>0</v>
      </c>
      <c r="G405" s="482" t="s">
        <v>20</v>
      </c>
      <c r="H405" s="482" t="s">
        <v>20</v>
      </c>
      <c r="I405" s="482">
        <f>'PERKOMODITI 2024'!V423</f>
        <v>0</v>
      </c>
      <c r="J405" s="397">
        <f>'PERKOMODITI 2024'!W423</f>
        <v>0</v>
      </c>
      <c r="K405" s="515"/>
    </row>
    <row r="406" spans="2:11" ht="24.95" customHeight="1">
      <c r="B406" s="26">
        <v>7</v>
      </c>
      <c r="C406" s="483" t="s">
        <v>23</v>
      </c>
      <c r="D406" s="535">
        <f>'PERKOMODITI 2024'!Q105</f>
        <v>0</v>
      </c>
      <c r="E406" s="535">
        <f>'PERKOMODITI 2024'!R105</f>
        <v>0</v>
      </c>
      <c r="F406" s="535">
        <f>'PERKOMODITI 2024'!S105</f>
        <v>0</v>
      </c>
      <c r="G406" s="482" t="s">
        <v>20</v>
      </c>
      <c r="H406" s="482" t="s">
        <v>20</v>
      </c>
      <c r="I406" s="535">
        <f>'PERKOMODITI 2024'!V105</f>
        <v>0</v>
      </c>
      <c r="J406" s="541">
        <f>'PERKOMODITI 2024'!W105</f>
        <v>0</v>
      </c>
      <c r="K406" s="388"/>
    </row>
    <row r="407" spans="2:11" ht="24.95" customHeight="1">
      <c r="B407" s="26">
        <v>8</v>
      </c>
      <c r="C407" s="483" t="s">
        <v>30</v>
      </c>
      <c r="D407" s="482">
        <v>0</v>
      </c>
      <c r="E407" s="482">
        <v>0</v>
      </c>
      <c r="F407" s="482">
        <v>0</v>
      </c>
      <c r="G407" s="482">
        <f t="shared" ref="G407" si="29">F407+E407+D407</f>
        <v>0</v>
      </c>
      <c r="H407" s="482">
        <v>0</v>
      </c>
      <c r="I407" s="536" t="s">
        <v>20</v>
      </c>
      <c r="J407" s="541" t="s">
        <v>20</v>
      </c>
      <c r="K407" s="515"/>
    </row>
    <row r="408" spans="2:11" ht="24.95" customHeight="1">
      <c r="B408" s="26">
        <v>9</v>
      </c>
      <c r="C408" s="483" t="s">
        <v>25</v>
      </c>
      <c r="D408" s="535">
        <f>'PERKOMODITI 2024'!Q380</f>
        <v>0</v>
      </c>
      <c r="E408" s="482">
        <f>'PERKOMODITI 2024'!R380</f>
        <v>0</v>
      </c>
      <c r="F408" s="482">
        <f>'PERKOMODITI 2024'!S380</f>
        <v>0</v>
      </c>
      <c r="G408" s="482" t="s">
        <v>20</v>
      </c>
      <c r="H408" s="482">
        <v>0</v>
      </c>
      <c r="I408" s="482">
        <f>'PERKOMODITI 2024'!V380</f>
        <v>0</v>
      </c>
      <c r="J408" s="541">
        <f>'PERKOMODITI 2024'!W380</f>
        <v>0</v>
      </c>
      <c r="K408" s="515"/>
    </row>
    <row r="409" spans="2:11" ht="25.5" customHeight="1">
      <c r="B409" s="26">
        <v>10</v>
      </c>
      <c r="C409" s="483" t="s">
        <v>26</v>
      </c>
      <c r="D409" s="482">
        <f>'PERKOMODITI 2024'!Q244</f>
        <v>0</v>
      </c>
      <c r="E409" s="482">
        <f>'PERKOMODITI 2024'!R244</f>
        <v>0</v>
      </c>
      <c r="F409" s="482">
        <f>'PERKOMODITI 2024'!S244</f>
        <v>0</v>
      </c>
      <c r="G409" s="498" t="s">
        <v>20</v>
      </c>
      <c r="H409" s="498" t="s">
        <v>20</v>
      </c>
      <c r="I409" s="535">
        <f>'PERKOMODITI 2024'!V244</f>
        <v>0</v>
      </c>
      <c r="J409" s="541">
        <f>'PERKOMODITI 2024'!W244</f>
        <v>0</v>
      </c>
      <c r="K409" s="515"/>
    </row>
    <row r="410" spans="2:11" ht="25.5" customHeight="1">
      <c r="B410" s="26">
        <v>11</v>
      </c>
      <c r="C410" s="483" t="s">
        <v>27</v>
      </c>
      <c r="D410" s="482">
        <f>'PERKOMODITI 2024'!Q335</f>
        <v>0</v>
      </c>
      <c r="E410" s="482">
        <f>'PERKOMODITI 2024'!R335</f>
        <v>0</v>
      </c>
      <c r="F410" s="482">
        <f>'PERKOMODITI 2024'!S335</f>
        <v>0</v>
      </c>
      <c r="G410" s="482" t="s">
        <v>20</v>
      </c>
      <c r="H410" s="482" t="s">
        <v>20</v>
      </c>
      <c r="I410" s="535">
        <f>'PERKOMODITI 2024'!V335</f>
        <v>0</v>
      </c>
      <c r="J410" s="541">
        <f>'PERKOMODITI 2024'!W335</f>
        <v>0</v>
      </c>
      <c r="K410" s="515"/>
    </row>
    <row r="411" spans="2:11" ht="24.75" customHeight="1">
      <c r="B411" s="26">
        <v>12</v>
      </c>
      <c r="C411" s="105" t="s">
        <v>28</v>
      </c>
      <c r="D411" s="482">
        <f>'PERKOMODITI 2024'!C498</f>
        <v>19</v>
      </c>
      <c r="E411" s="482">
        <f>'PERKOMODITI 2024'!D498</f>
        <v>48</v>
      </c>
      <c r="F411" s="482">
        <f>'PERKOMODITI 2024'!E498</f>
        <v>16</v>
      </c>
      <c r="G411" s="498">
        <f>F411+E411+D411</f>
        <v>83</v>
      </c>
      <c r="H411" s="482">
        <f>I411/1000*E411</f>
        <v>21.263999999999999</v>
      </c>
      <c r="I411" s="482">
        <f>'PERKOMODITI 2024'!H498</f>
        <v>443</v>
      </c>
      <c r="J411" s="482">
        <f>'PERKOMODITI 2024'!I498</f>
        <v>110</v>
      </c>
      <c r="K411" s="126"/>
    </row>
    <row r="412" spans="2:11" ht="24.75" customHeight="1">
      <c r="B412" s="26">
        <v>13</v>
      </c>
      <c r="C412" s="90" t="s">
        <v>29</v>
      </c>
      <c r="D412" s="482">
        <f>'PERKOMODITI 2024'!C543</f>
        <v>18</v>
      </c>
      <c r="E412" s="482">
        <f>'PERKOMODITI 2024'!D543</f>
        <v>47</v>
      </c>
      <c r="F412" s="482">
        <f>'PERKOMODITI 2024'!E543</f>
        <v>11</v>
      </c>
      <c r="G412" s="498">
        <f>F412+E412+D412</f>
        <v>76</v>
      </c>
      <c r="H412" s="482">
        <f>I412/1000*E412</f>
        <v>14.1</v>
      </c>
      <c r="I412" s="482">
        <f>'PERKOMODITI 2024'!H543</f>
        <v>300</v>
      </c>
      <c r="J412" s="482">
        <f>'PERKOMODITI 2024'!I543</f>
        <v>67</v>
      </c>
      <c r="K412" s="515"/>
    </row>
    <row r="413" spans="2:11" ht="24.75" customHeight="1">
      <c r="B413" s="26">
        <v>14</v>
      </c>
      <c r="C413" s="483" t="s">
        <v>30</v>
      </c>
      <c r="D413" s="482">
        <f>'PERKOMODITI 2024'!Q1101</f>
        <v>0</v>
      </c>
      <c r="E413" s="482">
        <f>'PERKOMODITI 2024'!R1101</f>
        <v>0</v>
      </c>
      <c r="F413" s="482">
        <f>'PERKOMODITI 2024'!S1101</f>
        <v>0</v>
      </c>
      <c r="G413" s="498" t="s">
        <v>20</v>
      </c>
      <c r="H413" s="498" t="s">
        <v>20</v>
      </c>
      <c r="I413" s="482">
        <f>'PERKOMODITI 2024'!V1101</f>
        <v>0</v>
      </c>
      <c r="J413" s="397">
        <f>'PERKOMODITI 2024'!W1101</f>
        <v>0</v>
      </c>
      <c r="K413" s="515"/>
    </row>
    <row r="414" spans="2:11" ht="24" customHeight="1">
      <c r="B414" s="26">
        <v>15</v>
      </c>
      <c r="C414" s="483" t="s">
        <v>31</v>
      </c>
      <c r="D414" s="482">
        <f>'PERKOMODITI 2024'!Q1102</f>
        <v>0</v>
      </c>
      <c r="E414" s="482">
        <f>'PERKOMODITI 2024'!R1102</f>
        <v>0</v>
      </c>
      <c r="F414" s="482">
        <f>'PERKOMODITI 2024'!S1102</f>
        <v>0</v>
      </c>
      <c r="G414" s="498" t="s">
        <v>20</v>
      </c>
      <c r="H414" s="498" t="s">
        <v>20</v>
      </c>
      <c r="I414" s="482">
        <f>'PERKOMODITI 2024'!V1102</f>
        <v>0</v>
      </c>
      <c r="J414" s="397">
        <f>'PERKOMODITI 2024'!W1102</f>
        <v>0</v>
      </c>
      <c r="K414" s="515"/>
    </row>
    <row r="415" spans="2:11" ht="25.5" customHeight="1">
      <c r="B415" s="111">
        <v>16</v>
      </c>
      <c r="C415" s="485" t="s">
        <v>32</v>
      </c>
      <c r="D415" s="512" t="s">
        <v>20</v>
      </c>
      <c r="E415" s="512" t="s">
        <v>20</v>
      </c>
      <c r="F415" s="512" t="s">
        <v>20</v>
      </c>
      <c r="G415" s="512" t="s">
        <v>20</v>
      </c>
      <c r="H415" s="512" t="s">
        <v>20</v>
      </c>
      <c r="I415" s="512" t="s">
        <v>20</v>
      </c>
      <c r="J415" s="524" t="s">
        <v>20</v>
      </c>
      <c r="K415" s="517"/>
    </row>
    <row r="416" spans="2:11" ht="36" customHeight="1"/>
    <row r="417" spans="3:11" ht="19.5" customHeight="1">
      <c r="H417" s="489" t="s">
        <v>12</v>
      </c>
      <c r="I417" s="636" t="s">
        <v>33</v>
      </c>
      <c r="J417" s="636"/>
      <c r="K417" s="636"/>
    </row>
    <row r="418" spans="3:11" ht="19.5" customHeight="1">
      <c r="C418" s="204"/>
      <c r="G418" s="489"/>
      <c r="H418" s="492" t="s">
        <v>13</v>
      </c>
      <c r="I418" s="636" t="s">
        <v>34</v>
      </c>
      <c r="J418" s="636"/>
      <c r="K418" s="636"/>
    </row>
    <row r="419" spans="3:11" ht="19.5" customHeight="1">
      <c r="H419" s="489" t="s">
        <v>14</v>
      </c>
      <c r="I419" s="636" t="s">
        <v>35</v>
      </c>
      <c r="J419" s="636"/>
      <c r="K419" s="636"/>
    </row>
    <row r="420" spans="3:11" ht="21" customHeight="1">
      <c r="H420" s="637"/>
      <c r="I420" s="637"/>
      <c r="J420" s="637"/>
      <c r="K420" s="637"/>
    </row>
    <row r="421" spans="3:11" ht="21" customHeight="1">
      <c r="C421" s="44" t="s">
        <v>36</v>
      </c>
      <c r="D421" s="494"/>
      <c r="E421" s="494"/>
      <c r="F421" s="494"/>
      <c r="H421" s="638"/>
      <c r="I421" s="638"/>
      <c r="J421" s="638"/>
      <c r="K421" s="638"/>
    </row>
    <row r="422" spans="3:11" ht="14.25">
      <c r="C422" s="263"/>
      <c r="D422" s="494"/>
      <c r="E422" s="494"/>
      <c r="F422" s="494"/>
      <c r="H422" s="638"/>
      <c r="I422" s="638"/>
      <c r="J422" s="638"/>
      <c r="K422" s="638"/>
    </row>
    <row r="423" spans="3:11" ht="14.25">
      <c r="C423" s="45"/>
      <c r="D423" s="494"/>
      <c r="E423" s="494"/>
      <c r="F423" s="494"/>
      <c r="H423" s="494"/>
      <c r="I423" s="494"/>
      <c r="J423" s="506"/>
      <c r="K423" s="45"/>
    </row>
    <row r="424" spans="3:11" ht="14.25">
      <c r="C424" s="45"/>
      <c r="D424" s="494"/>
      <c r="E424" s="494"/>
      <c r="F424" s="494"/>
      <c r="H424" s="494"/>
      <c r="I424" s="494"/>
      <c r="J424" s="506"/>
      <c r="K424" s="45"/>
    </row>
    <row r="425" spans="3:11" ht="15">
      <c r="C425" s="495" t="s">
        <v>58</v>
      </c>
      <c r="D425" s="496"/>
      <c r="E425" s="496"/>
      <c r="F425" s="496"/>
      <c r="H425" s="653"/>
      <c r="I425" s="653"/>
      <c r="J425" s="653"/>
      <c r="K425" s="653"/>
    </row>
    <row r="426" spans="3:11">
      <c r="C426" s="266"/>
      <c r="H426" s="650"/>
      <c r="I426" s="637"/>
      <c r="J426" s="637"/>
      <c r="K426" s="637"/>
    </row>
    <row r="446" spans="2:11" ht="18.75">
      <c r="B446" s="82"/>
      <c r="C446" s="82"/>
      <c r="D446" s="478"/>
      <c r="E446" s="478"/>
      <c r="F446" s="478"/>
      <c r="G446" s="478"/>
      <c r="H446" s="478"/>
      <c r="I446" s="478"/>
      <c r="J446" s="296"/>
      <c r="K446" s="82"/>
    </row>
    <row r="447" spans="2:11" ht="18.75">
      <c r="B447" s="82"/>
      <c r="C447" s="82"/>
      <c r="D447" s="478"/>
      <c r="E447" s="478"/>
      <c r="F447" s="478"/>
      <c r="G447" s="478"/>
      <c r="H447" s="478"/>
      <c r="I447" s="478"/>
      <c r="J447" s="296"/>
      <c r="K447" s="82"/>
    </row>
    <row r="448" spans="2:11" ht="18.75">
      <c r="B448" s="82"/>
      <c r="C448" s="82"/>
      <c r="D448" s="478"/>
      <c r="E448" s="478"/>
      <c r="F448" s="478"/>
      <c r="G448" s="478"/>
      <c r="H448" s="478"/>
      <c r="I448" s="478"/>
      <c r="J448" s="296"/>
      <c r="K448" s="82"/>
    </row>
    <row r="449" spans="2:11" ht="18.75">
      <c r="B449" s="82"/>
      <c r="C449" s="82"/>
      <c r="D449" s="478"/>
      <c r="E449" s="478"/>
      <c r="F449" s="478"/>
      <c r="G449" s="478"/>
      <c r="H449" s="478"/>
      <c r="I449" s="478"/>
      <c r="J449" s="296"/>
      <c r="K449" s="82"/>
    </row>
  </sheetData>
  <mergeCells count="243">
    <mergeCell ref="B2:K2"/>
    <mergeCell ref="B3:K3"/>
    <mergeCell ref="B4:K4"/>
    <mergeCell ref="D8:F8"/>
    <mergeCell ref="B28:C28"/>
    <mergeCell ref="I29:K29"/>
    <mergeCell ref="I30:K30"/>
    <mergeCell ref="I31:K31"/>
    <mergeCell ref="H33:K33"/>
    <mergeCell ref="D9:D10"/>
    <mergeCell ref="E9:E10"/>
    <mergeCell ref="F9:F10"/>
    <mergeCell ref="G8:G10"/>
    <mergeCell ref="H8:H10"/>
    <mergeCell ref="I8:I10"/>
    <mergeCell ref="J8:J10"/>
    <mergeCell ref="K8:K10"/>
    <mergeCell ref="I69:K69"/>
    <mergeCell ref="I70:K70"/>
    <mergeCell ref="H71:K71"/>
    <mergeCell ref="H72:K72"/>
    <mergeCell ref="H73:K73"/>
    <mergeCell ref="H76:K76"/>
    <mergeCell ref="H77:K77"/>
    <mergeCell ref="B81:K81"/>
    <mergeCell ref="H34:K34"/>
    <mergeCell ref="C35:F35"/>
    <mergeCell ref="H35:K35"/>
    <mergeCell ref="H38:K38"/>
    <mergeCell ref="H39:K39"/>
    <mergeCell ref="B41:K41"/>
    <mergeCell ref="B42:K42"/>
    <mergeCell ref="B43:K43"/>
    <mergeCell ref="D47:F47"/>
    <mergeCell ref="G47:G49"/>
    <mergeCell ref="H47:H49"/>
    <mergeCell ref="I47:I49"/>
    <mergeCell ref="J47:J49"/>
    <mergeCell ref="K47:K49"/>
    <mergeCell ref="D48:D49"/>
    <mergeCell ref="E48:E49"/>
    <mergeCell ref="H116:K116"/>
    <mergeCell ref="H117:K117"/>
    <mergeCell ref="B120:K120"/>
    <mergeCell ref="B121:K121"/>
    <mergeCell ref="B122:K122"/>
    <mergeCell ref="D126:F126"/>
    <mergeCell ref="I147:K147"/>
    <mergeCell ref="I148:K148"/>
    <mergeCell ref="I149:K149"/>
    <mergeCell ref="G126:G128"/>
    <mergeCell ref="H126:H128"/>
    <mergeCell ref="I126:I128"/>
    <mergeCell ref="J126:J128"/>
    <mergeCell ref="K126:K128"/>
    <mergeCell ref="E127:E128"/>
    <mergeCell ref="I186:K186"/>
    <mergeCell ref="I187:K187"/>
    <mergeCell ref="H188:K188"/>
    <mergeCell ref="H189:K189"/>
    <mergeCell ref="H190:K190"/>
    <mergeCell ref="H193:K193"/>
    <mergeCell ref="H194:K194"/>
    <mergeCell ref="B196:K196"/>
    <mergeCell ref="H150:K150"/>
    <mergeCell ref="H151:K151"/>
    <mergeCell ref="H152:K152"/>
    <mergeCell ref="H155:K155"/>
    <mergeCell ref="H156:K156"/>
    <mergeCell ref="B158:K158"/>
    <mergeCell ref="B159:K159"/>
    <mergeCell ref="B160:K160"/>
    <mergeCell ref="D164:F164"/>
    <mergeCell ref="G164:G166"/>
    <mergeCell ref="H164:H166"/>
    <mergeCell ref="I164:I166"/>
    <mergeCell ref="J164:J166"/>
    <mergeCell ref="K164:K166"/>
    <mergeCell ref="E165:E166"/>
    <mergeCell ref="I185:K185"/>
    <mergeCell ref="H231:K231"/>
    <mergeCell ref="H232:K232"/>
    <mergeCell ref="B234:K234"/>
    <mergeCell ref="B235:K235"/>
    <mergeCell ref="B236:K236"/>
    <mergeCell ref="D240:F240"/>
    <mergeCell ref="I261:K261"/>
    <mergeCell ref="I262:K262"/>
    <mergeCell ref="I263:K263"/>
    <mergeCell ref="C240:C242"/>
    <mergeCell ref="G240:G242"/>
    <mergeCell ref="H240:H242"/>
    <mergeCell ref="I240:I242"/>
    <mergeCell ref="J240:J242"/>
    <mergeCell ref="K240:K242"/>
    <mergeCell ref="H264:K264"/>
    <mergeCell ref="H265:K265"/>
    <mergeCell ref="H269:K269"/>
    <mergeCell ref="H270:K270"/>
    <mergeCell ref="B272:K272"/>
    <mergeCell ref="B273:K273"/>
    <mergeCell ref="B274:K274"/>
    <mergeCell ref="D278:F278"/>
    <mergeCell ref="I299:K299"/>
    <mergeCell ref="C278:C280"/>
    <mergeCell ref="G278:G280"/>
    <mergeCell ref="H278:H280"/>
    <mergeCell ref="I278:I280"/>
    <mergeCell ref="J278:J280"/>
    <mergeCell ref="K278:K280"/>
    <mergeCell ref="I300:K300"/>
    <mergeCell ref="I301:K301"/>
    <mergeCell ref="H302:K302"/>
    <mergeCell ref="H303:K303"/>
    <mergeCell ref="H304:K304"/>
    <mergeCell ref="H307:K307"/>
    <mergeCell ref="H308:K308"/>
    <mergeCell ref="B311:K311"/>
    <mergeCell ref="B312:K312"/>
    <mergeCell ref="I379:K379"/>
    <mergeCell ref="I380:K380"/>
    <mergeCell ref="I381:K381"/>
    <mergeCell ref="H382:K382"/>
    <mergeCell ref="C358:C360"/>
    <mergeCell ref="G358:G360"/>
    <mergeCell ref="H358:H360"/>
    <mergeCell ref="I358:I360"/>
    <mergeCell ref="J358:J360"/>
    <mergeCell ref="K358:K360"/>
    <mergeCell ref="H383:K383"/>
    <mergeCell ref="H384:K384"/>
    <mergeCell ref="H387:K387"/>
    <mergeCell ref="H388:K388"/>
    <mergeCell ref="B390:K390"/>
    <mergeCell ref="B391:K391"/>
    <mergeCell ref="B392:K392"/>
    <mergeCell ref="D396:F396"/>
    <mergeCell ref="I417:K417"/>
    <mergeCell ref="C396:C398"/>
    <mergeCell ref="D397:D398"/>
    <mergeCell ref="E397:E398"/>
    <mergeCell ref="F397:F398"/>
    <mergeCell ref="G396:G398"/>
    <mergeCell ref="H396:H398"/>
    <mergeCell ref="I396:I398"/>
    <mergeCell ref="J396:J398"/>
    <mergeCell ref="K396:K398"/>
    <mergeCell ref="I418:K418"/>
    <mergeCell ref="I419:K419"/>
    <mergeCell ref="H420:K420"/>
    <mergeCell ref="H421:K421"/>
    <mergeCell ref="H422:K422"/>
    <mergeCell ref="H425:K425"/>
    <mergeCell ref="H426:K426"/>
    <mergeCell ref="B8:B10"/>
    <mergeCell ref="B47:B49"/>
    <mergeCell ref="B87:B89"/>
    <mergeCell ref="B126:B128"/>
    <mergeCell ref="B164:B166"/>
    <mergeCell ref="B202:B204"/>
    <mergeCell ref="B240:B242"/>
    <mergeCell ref="B278:B280"/>
    <mergeCell ref="B317:B319"/>
    <mergeCell ref="B358:B360"/>
    <mergeCell ref="B396:B398"/>
    <mergeCell ref="C8:C10"/>
    <mergeCell ref="C47:C49"/>
    <mergeCell ref="C87:C89"/>
    <mergeCell ref="C126:C128"/>
    <mergeCell ref="C164:C166"/>
    <mergeCell ref="C202:C204"/>
    <mergeCell ref="D88:D89"/>
    <mergeCell ref="D127:D128"/>
    <mergeCell ref="D165:D166"/>
    <mergeCell ref="D203:D204"/>
    <mergeCell ref="D241:D242"/>
    <mergeCell ref="D279:D280"/>
    <mergeCell ref="D318:D319"/>
    <mergeCell ref="D359:D360"/>
    <mergeCell ref="B313:K313"/>
    <mergeCell ref="D317:F317"/>
    <mergeCell ref="I338:K338"/>
    <mergeCell ref="I339:K339"/>
    <mergeCell ref="I340:K340"/>
    <mergeCell ref="H341:K341"/>
    <mergeCell ref="H342:K342"/>
    <mergeCell ref="H343:K343"/>
    <mergeCell ref="H346:K346"/>
    <mergeCell ref="C317:C319"/>
    <mergeCell ref="G317:G319"/>
    <mergeCell ref="H317:H319"/>
    <mergeCell ref="I317:I319"/>
    <mergeCell ref="J317:J319"/>
    <mergeCell ref="K317:K319"/>
    <mergeCell ref="E88:E89"/>
    <mergeCell ref="E203:E204"/>
    <mergeCell ref="E241:E242"/>
    <mergeCell ref="E279:E280"/>
    <mergeCell ref="E318:E319"/>
    <mergeCell ref="E359:E360"/>
    <mergeCell ref="B197:K197"/>
    <mergeCell ref="B198:K198"/>
    <mergeCell ref="D202:F202"/>
    <mergeCell ref="I223:K223"/>
    <mergeCell ref="I224:K224"/>
    <mergeCell ref="I225:K225"/>
    <mergeCell ref="H226:K226"/>
    <mergeCell ref="H227:K227"/>
    <mergeCell ref="H228:K228"/>
    <mergeCell ref="G202:G204"/>
    <mergeCell ref="H202:H204"/>
    <mergeCell ref="I202:I204"/>
    <mergeCell ref="J202:J204"/>
    <mergeCell ref="K202:K204"/>
    <mergeCell ref="H347:K347"/>
    <mergeCell ref="B352:K352"/>
    <mergeCell ref="B353:K353"/>
    <mergeCell ref="B354:K354"/>
    <mergeCell ref="D358:F358"/>
    <mergeCell ref="F48:F49"/>
    <mergeCell ref="F88:F89"/>
    <mergeCell ref="F127:F128"/>
    <mergeCell ref="F165:F166"/>
    <mergeCell ref="F203:F204"/>
    <mergeCell ref="F241:F242"/>
    <mergeCell ref="F279:F280"/>
    <mergeCell ref="F318:F319"/>
    <mergeCell ref="F359:F360"/>
    <mergeCell ref="B82:K82"/>
    <mergeCell ref="B83:K83"/>
    <mergeCell ref="D87:F87"/>
    <mergeCell ref="I108:K108"/>
    <mergeCell ref="I109:K109"/>
    <mergeCell ref="I110:K110"/>
    <mergeCell ref="H111:K111"/>
    <mergeCell ref="H112:K112"/>
    <mergeCell ref="H113:K113"/>
    <mergeCell ref="G87:G89"/>
    <mergeCell ref="H87:H89"/>
    <mergeCell ref="I87:I89"/>
    <mergeCell ref="J87:J89"/>
    <mergeCell ref="K87:K89"/>
    <mergeCell ref="I68:K68"/>
  </mergeCells>
  <pageMargins left="0.6" right="7.8740157480315001E-2" top="0.66929133858267698" bottom="0.84055118100000004" header="0.43307086614173201" footer="0.511811023622047"/>
  <pageSetup paperSize="9" scale="85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"/>
  <sheetViews>
    <sheetView workbookViewId="0">
      <selection activeCell="U27" sqref="U27:X27"/>
    </sheetView>
  </sheetViews>
  <sheetFormatPr defaultColWidth="9" defaultRowHeight="12.75"/>
  <cols>
    <col min="1" max="1" width="0.42578125" customWidth="1"/>
    <col min="2" max="2" width="3.5703125" customWidth="1"/>
    <col min="6" max="6" width="10.28515625" customWidth="1"/>
    <col min="8" max="8" width="12" customWidth="1"/>
    <col min="9" max="9" width="7.28515625" customWidth="1"/>
    <col min="11" max="11" width="4.5703125" customWidth="1"/>
    <col min="12" max="12" width="28.85546875" customWidth="1"/>
    <col min="13" max="13" width="7" customWidth="1"/>
  </cols>
  <sheetData>
    <row r="2" spans="2:13" ht="20.100000000000001" customHeight="1">
      <c r="B2" s="2"/>
      <c r="C2" s="2"/>
      <c r="D2" s="2"/>
      <c r="E2" s="2"/>
      <c r="F2" s="3" t="s">
        <v>270</v>
      </c>
      <c r="G2" s="2"/>
      <c r="H2" s="2"/>
      <c r="I2" s="2"/>
      <c r="J2" s="2"/>
      <c r="K2" s="2"/>
    </row>
    <row r="3" spans="2:13" ht="20.100000000000001" customHeight="1">
      <c r="B3" s="2"/>
      <c r="C3" s="2"/>
      <c r="D3" s="2"/>
      <c r="E3" s="2"/>
      <c r="F3" s="4"/>
      <c r="G3" s="2"/>
      <c r="H3" s="2"/>
      <c r="I3" s="2"/>
      <c r="J3" s="2"/>
      <c r="K3" s="2"/>
    </row>
    <row r="4" spans="2:13" ht="24.95" customHeight="1">
      <c r="B4" s="5" t="s">
        <v>271</v>
      </c>
      <c r="C4" s="2"/>
      <c r="D4" s="2"/>
      <c r="E4" s="6" t="s">
        <v>272</v>
      </c>
      <c r="F4" s="2"/>
      <c r="G4" s="2"/>
      <c r="H4" s="2"/>
      <c r="I4" s="2"/>
      <c r="J4" s="2"/>
      <c r="K4" s="2"/>
      <c r="L4" s="1"/>
      <c r="M4" s="1" t="s">
        <v>273</v>
      </c>
    </row>
    <row r="5" spans="2:13" ht="24.95" customHeight="1">
      <c r="B5" s="7" t="s">
        <v>270</v>
      </c>
      <c r="C5" s="2"/>
      <c r="D5" s="6" t="s">
        <v>274</v>
      </c>
      <c r="E5" s="2"/>
      <c r="F5" s="2"/>
      <c r="G5" s="2"/>
      <c r="H5" s="2"/>
      <c r="I5" s="2"/>
      <c r="J5" s="2"/>
      <c r="K5" s="2"/>
      <c r="L5" s="1"/>
      <c r="M5" s="1" t="s">
        <v>275</v>
      </c>
    </row>
    <row r="6" spans="2:13" ht="24.95" customHeight="1">
      <c r="B6" s="7" t="s">
        <v>117</v>
      </c>
      <c r="C6" s="2"/>
      <c r="D6" s="2"/>
      <c r="E6" s="2"/>
      <c r="F6" s="2"/>
      <c r="G6" s="2"/>
      <c r="H6" s="2"/>
      <c r="I6" s="6" t="s">
        <v>276</v>
      </c>
      <c r="J6" s="2"/>
      <c r="K6" s="2"/>
      <c r="M6" s="1" t="s">
        <v>277</v>
      </c>
    </row>
    <row r="7" spans="2:13" ht="24.95" customHeight="1">
      <c r="B7" s="7"/>
      <c r="C7" s="2"/>
      <c r="D7" s="2"/>
      <c r="E7" s="2"/>
      <c r="F7" s="2"/>
      <c r="G7" s="6"/>
      <c r="H7" s="2"/>
      <c r="I7" s="2"/>
      <c r="J7" s="2"/>
      <c r="K7" s="2"/>
    </row>
    <row r="8" spans="2:13" ht="24.95" customHeight="1">
      <c r="B8" s="2"/>
      <c r="C8" s="2"/>
      <c r="D8" s="2"/>
      <c r="E8" s="2"/>
      <c r="F8" s="2"/>
      <c r="G8" s="2"/>
      <c r="H8" s="2"/>
      <c r="I8" s="2"/>
      <c r="J8" s="2"/>
      <c r="K8" s="2"/>
    </row>
    <row r="9" spans="2:13" ht="24.95" customHeight="1">
      <c r="B9" s="6"/>
      <c r="C9" s="8" t="s">
        <v>278</v>
      </c>
      <c r="D9" s="2"/>
      <c r="E9" s="2"/>
      <c r="F9" s="2"/>
      <c r="G9" s="2"/>
      <c r="H9" s="2"/>
      <c r="I9" s="2"/>
      <c r="J9" s="2"/>
      <c r="K9" s="2"/>
      <c r="M9" s="729">
        <v>1</v>
      </c>
    </row>
    <row r="10" spans="2:13" ht="24.95" customHeight="1">
      <c r="B10" s="6"/>
      <c r="C10" s="8" t="s">
        <v>279</v>
      </c>
      <c r="D10" s="2"/>
      <c r="E10" s="2"/>
      <c r="F10" s="6"/>
      <c r="G10" s="6" t="s">
        <v>280</v>
      </c>
      <c r="H10" s="2"/>
      <c r="I10" s="2"/>
      <c r="J10" s="2"/>
      <c r="K10" s="2"/>
      <c r="M10" s="729"/>
    </row>
    <row r="11" spans="2:13" ht="24.95" customHeight="1">
      <c r="B11" s="2"/>
      <c r="C11" s="8" t="s">
        <v>278</v>
      </c>
      <c r="D11" s="2"/>
      <c r="E11" s="2"/>
      <c r="F11" s="2"/>
      <c r="G11" s="2"/>
      <c r="H11" s="2"/>
      <c r="I11" s="2"/>
      <c r="J11" s="2"/>
      <c r="K11" s="2"/>
      <c r="M11" s="729">
        <v>2</v>
      </c>
    </row>
    <row r="12" spans="2:13" ht="24.95" customHeight="1">
      <c r="B12" s="2"/>
      <c r="C12" s="8" t="s">
        <v>281</v>
      </c>
      <c r="D12" s="2"/>
      <c r="E12" s="2"/>
      <c r="F12" s="2"/>
      <c r="G12" s="6" t="s">
        <v>282</v>
      </c>
      <c r="H12" s="2"/>
      <c r="I12" s="2"/>
      <c r="J12" s="2"/>
      <c r="K12" s="2"/>
      <c r="M12" s="729"/>
    </row>
    <row r="13" spans="2:13" ht="24.95" customHeight="1">
      <c r="B13" s="2"/>
      <c r="C13" s="8" t="s">
        <v>278</v>
      </c>
      <c r="D13" s="2"/>
      <c r="E13" s="2"/>
      <c r="F13" s="2"/>
      <c r="G13" s="2"/>
      <c r="H13" s="2"/>
      <c r="I13" s="2"/>
      <c r="J13" s="2"/>
      <c r="K13" s="2"/>
      <c r="M13" s="729">
        <v>3</v>
      </c>
    </row>
    <row r="14" spans="2:13" ht="24.95" customHeight="1">
      <c r="B14" s="2"/>
      <c r="C14" s="8" t="s">
        <v>283</v>
      </c>
      <c r="D14" s="2"/>
      <c r="E14" s="2"/>
      <c r="F14" s="6"/>
      <c r="G14" s="6" t="s">
        <v>284</v>
      </c>
      <c r="H14" s="2"/>
      <c r="I14" s="2"/>
      <c r="J14" s="2"/>
      <c r="K14" s="2"/>
      <c r="M14" s="729"/>
    </row>
    <row r="15" spans="2:13" ht="24.95" customHeight="1">
      <c r="B15" s="2"/>
      <c r="C15" s="8" t="s">
        <v>278</v>
      </c>
      <c r="D15" s="2"/>
      <c r="E15" s="2"/>
      <c r="F15" s="2"/>
      <c r="G15" s="2"/>
      <c r="H15" s="2"/>
      <c r="I15" s="2"/>
      <c r="J15" s="2"/>
      <c r="K15" s="2"/>
      <c r="M15" s="729">
        <v>4</v>
      </c>
    </row>
    <row r="16" spans="2:13" ht="24.95" customHeight="1">
      <c r="B16" s="2"/>
      <c r="C16" s="8" t="s">
        <v>285</v>
      </c>
      <c r="D16" s="2"/>
      <c r="E16" s="2"/>
      <c r="F16" s="6"/>
      <c r="G16" s="6" t="s">
        <v>286</v>
      </c>
      <c r="H16" s="2"/>
      <c r="I16" s="2"/>
      <c r="J16" s="2"/>
      <c r="K16" s="2"/>
      <c r="M16" s="729"/>
    </row>
    <row r="17" spans="2:13" ht="24.95" customHeight="1">
      <c r="B17" s="2"/>
      <c r="C17" s="8" t="s">
        <v>278</v>
      </c>
      <c r="D17" s="2"/>
      <c r="E17" s="2"/>
      <c r="F17" s="2"/>
      <c r="G17" s="2"/>
      <c r="H17" s="2"/>
      <c r="I17" s="2"/>
      <c r="J17" s="2"/>
      <c r="K17" s="2"/>
      <c r="M17" s="729">
        <v>5</v>
      </c>
    </row>
    <row r="18" spans="2:13" ht="24.95" customHeight="1">
      <c r="B18" s="2"/>
      <c r="C18" s="8" t="s">
        <v>287</v>
      </c>
      <c r="D18" s="2"/>
      <c r="E18" s="2"/>
      <c r="F18" s="2"/>
      <c r="G18" s="2"/>
      <c r="H18" s="2"/>
      <c r="I18" s="2"/>
      <c r="J18" s="2"/>
      <c r="K18" s="2"/>
      <c r="M18" s="729"/>
    </row>
    <row r="19" spans="2:13" ht="24.95" customHeight="1">
      <c r="B19" s="2"/>
      <c r="C19" s="8" t="s">
        <v>278</v>
      </c>
      <c r="D19" s="2"/>
      <c r="E19" s="2"/>
      <c r="F19" s="2"/>
      <c r="G19" s="2"/>
      <c r="H19" s="2"/>
      <c r="I19" s="2"/>
      <c r="J19" s="2"/>
      <c r="K19" s="2"/>
      <c r="M19" s="729">
        <v>6</v>
      </c>
    </row>
    <row r="20" spans="2:13" ht="24.95" customHeight="1">
      <c r="B20" s="2"/>
      <c r="C20" s="8" t="s">
        <v>288</v>
      </c>
      <c r="D20" s="2"/>
      <c r="E20" s="2"/>
      <c r="F20" s="2"/>
      <c r="G20" s="2"/>
      <c r="H20" s="2"/>
      <c r="I20" s="2"/>
      <c r="J20" s="2"/>
      <c r="K20" s="2"/>
      <c r="M20" s="729"/>
    </row>
    <row r="21" spans="2:13" ht="24.95" customHeight="1">
      <c r="B21" s="2"/>
      <c r="C21" s="8" t="s">
        <v>278</v>
      </c>
      <c r="D21" s="2"/>
      <c r="E21" s="2"/>
      <c r="F21" s="2"/>
      <c r="G21" s="2"/>
      <c r="H21" s="2"/>
      <c r="I21" s="2"/>
      <c r="J21" s="2"/>
      <c r="K21" s="2"/>
      <c r="M21" s="729">
        <v>7</v>
      </c>
    </row>
    <row r="22" spans="2:13" ht="24.95" customHeight="1">
      <c r="B22" s="2"/>
      <c r="C22" s="8" t="s">
        <v>289</v>
      </c>
      <c r="D22" s="2"/>
      <c r="E22" s="2"/>
      <c r="F22" s="2"/>
      <c r="G22" s="2"/>
      <c r="H22" s="2"/>
      <c r="I22" s="2"/>
      <c r="J22" s="2"/>
      <c r="K22" s="2"/>
      <c r="M22" s="729"/>
    </row>
    <row r="23" spans="2:13" ht="24.95" customHeight="1">
      <c r="B23" s="2"/>
      <c r="C23" s="8" t="s">
        <v>278</v>
      </c>
      <c r="D23" s="2"/>
      <c r="E23" s="2"/>
      <c r="F23" s="2"/>
      <c r="G23" s="2"/>
      <c r="H23" s="2"/>
      <c r="I23" s="2"/>
      <c r="J23" s="2"/>
      <c r="K23" s="2"/>
      <c r="M23" s="729">
        <v>8</v>
      </c>
    </row>
    <row r="24" spans="2:13" ht="24.95" customHeight="1">
      <c r="B24" s="2"/>
      <c r="C24" s="8" t="s">
        <v>290</v>
      </c>
      <c r="D24" s="2"/>
      <c r="E24" s="2"/>
      <c r="F24" s="2"/>
      <c r="G24" s="2"/>
      <c r="H24" s="2"/>
      <c r="I24" s="2"/>
      <c r="J24" s="2"/>
      <c r="K24" s="2"/>
      <c r="M24" s="729"/>
    </row>
    <row r="25" spans="2:13" ht="24.95" customHeight="1">
      <c r="B25" s="2"/>
      <c r="C25" s="8" t="s">
        <v>278</v>
      </c>
      <c r="D25" s="2"/>
      <c r="E25" s="2"/>
      <c r="F25" s="2"/>
      <c r="G25" s="2"/>
      <c r="H25" s="2"/>
      <c r="I25" s="2"/>
      <c r="J25" s="2"/>
      <c r="K25" s="2"/>
      <c r="M25" s="729">
        <v>9</v>
      </c>
    </row>
    <row r="26" spans="2:13" ht="24.95" customHeight="1">
      <c r="B26" s="2"/>
      <c r="C26" s="8" t="s">
        <v>291</v>
      </c>
      <c r="D26" s="2"/>
      <c r="E26" s="2"/>
      <c r="F26" s="2"/>
      <c r="G26" s="2"/>
      <c r="H26" s="2"/>
      <c r="I26" s="2"/>
      <c r="J26" s="2"/>
      <c r="K26" s="2"/>
      <c r="M26" s="729"/>
    </row>
    <row r="27" spans="2:13" ht="24.95" customHeight="1">
      <c r="B27" s="2"/>
      <c r="C27" s="8" t="s">
        <v>278</v>
      </c>
      <c r="D27" s="2"/>
      <c r="E27" s="2"/>
      <c r="F27" s="2"/>
      <c r="G27" s="2"/>
      <c r="H27" s="2"/>
      <c r="I27" s="2"/>
      <c r="J27" s="2"/>
      <c r="K27" s="2"/>
      <c r="M27" s="729">
        <v>10</v>
      </c>
    </row>
    <row r="28" spans="2:13" ht="24.95" customHeight="1">
      <c r="B28" s="2"/>
      <c r="C28" s="8" t="s">
        <v>292</v>
      </c>
      <c r="D28" s="2"/>
      <c r="E28" s="2"/>
      <c r="F28" s="2"/>
      <c r="G28" s="2"/>
      <c r="H28" s="2"/>
      <c r="I28" s="2"/>
      <c r="J28" s="2"/>
      <c r="K28" s="2"/>
      <c r="M28" s="729"/>
    </row>
    <row r="29" spans="2:13" ht="24.95" customHeight="1">
      <c r="B29" s="2"/>
      <c r="C29" s="8" t="s">
        <v>278</v>
      </c>
      <c r="D29" s="2"/>
      <c r="E29" s="2"/>
      <c r="F29" s="2"/>
      <c r="G29" s="2"/>
      <c r="H29" s="2"/>
      <c r="I29" s="2"/>
      <c r="J29" s="2"/>
      <c r="K29" s="2"/>
      <c r="M29" s="729">
        <v>11</v>
      </c>
    </row>
    <row r="30" spans="2:13" ht="24.95" customHeight="1">
      <c r="C30" s="8" t="s">
        <v>293</v>
      </c>
      <c r="M30" s="729"/>
    </row>
  </sheetData>
  <mergeCells count="11">
    <mergeCell ref="M9:M10"/>
    <mergeCell ref="M11:M12"/>
    <mergeCell ref="M13:M14"/>
    <mergeCell ref="M15:M16"/>
    <mergeCell ref="M17:M18"/>
    <mergeCell ref="M29:M30"/>
    <mergeCell ref="M19:M20"/>
    <mergeCell ref="M21:M22"/>
    <mergeCell ref="M23:M24"/>
    <mergeCell ref="M25:M26"/>
    <mergeCell ref="M27:M28"/>
  </mergeCells>
  <pageMargins left="0.31496062992126" right="0.31496062992126" top="0.35433070866141703" bottom="0.35433070866141703" header="0.31496062992126" footer="0.31496062992126"/>
  <pageSetup paperSize="5" scale="9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topLeftCell="A2" workbookViewId="0">
      <selection activeCell="B3" sqref="B3"/>
    </sheetView>
  </sheetViews>
  <sheetFormatPr defaultColWidth="9" defaultRowHeight="12.75"/>
  <cols>
    <col min="1" max="1" width="0.5703125" customWidth="1"/>
    <col min="2" max="2" width="2.28515625" customWidth="1"/>
    <col min="3" max="3" width="1.5703125" customWidth="1"/>
  </cols>
  <sheetData>
    <row r="2" spans="2:4">
      <c r="B2" s="1" t="s">
        <v>294</v>
      </c>
    </row>
    <row r="4" spans="2:4">
      <c r="B4">
        <v>1</v>
      </c>
      <c r="D4" s="1" t="s">
        <v>295</v>
      </c>
    </row>
    <row r="5" spans="2:4">
      <c r="C5" s="1" t="s">
        <v>20</v>
      </c>
      <c r="D5" s="1" t="s">
        <v>296</v>
      </c>
    </row>
    <row r="6" spans="2:4">
      <c r="C6" s="1" t="s">
        <v>20</v>
      </c>
      <c r="D6" s="1" t="s">
        <v>297</v>
      </c>
    </row>
    <row r="9" spans="2:4">
      <c r="B9">
        <v>2</v>
      </c>
      <c r="D9" s="1" t="s">
        <v>298</v>
      </c>
    </row>
    <row r="10" spans="2:4">
      <c r="C10" s="1" t="s">
        <v>20</v>
      </c>
      <c r="D10" s="1" t="s">
        <v>299</v>
      </c>
    </row>
    <row r="11" spans="2:4">
      <c r="C11" s="1" t="s">
        <v>20</v>
      </c>
      <c r="D11" s="1" t="s">
        <v>300</v>
      </c>
    </row>
    <row r="12" spans="2:4">
      <c r="C12" t="s">
        <v>20</v>
      </c>
      <c r="D12" s="1" t="s">
        <v>301</v>
      </c>
    </row>
    <row r="13" spans="2:4">
      <c r="C13" t="s">
        <v>20</v>
      </c>
      <c r="D13" s="1" t="s">
        <v>302</v>
      </c>
    </row>
    <row r="14" spans="2:4">
      <c r="D14" s="1" t="s">
        <v>303</v>
      </c>
    </row>
    <row r="15" spans="2:4">
      <c r="D15" s="1"/>
    </row>
    <row r="16" spans="2:4">
      <c r="D16" s="1"/>
    </row>
    <row r="17" spans="2:4">
      <c r="B17">
        <v>3</v>
      </c>
      <c r="D17" s="1" t="s">
        <v>148</v>
      </c>
    </row>
    <row r="18" spans="2:4">
      <c r="C18" s="1" t="s">
        <v>20</v>
      </c>
      <c r="D18" s="1" t="s">
        <v>304</v>
      </c>
    </row>
    <row r="19" spans="2:4">
      <c r="C19" s="1" t="s">
        <v>20</v>
      </c>
      <c r="D19" s="1" t="s">
        <v>305</v>
      </c>
    </row>
    <row r="20" spans="2:4">
      <c r="D20" s="1" t="s">
        <v>306</v>
      </c>
    </row>
    <row r="21" spans="2:4">
      <c r="D21" s="1"/>
    </row>
    <row r="22" spans="2:4" ht="12" customHeight="1">
      <c r="B22">
        <v>4</v>
      </c>
      <c r="D22" t="s">
        <v>307</v>
      </c>
    </row>
    <row r="23" spans="2:4">
      <c r="C23" t="s">
        <v>20</v>
      </c>
    </row>
    <row r="25" spans="2:4">
      <c r="B25">
        <v>5</v>
      </c>
      <c r="D25" t="s">
        <v>129</v>
      </c>
    </row>
    <row r="26" spans="2:4">
      <c r="D26" t="s">
        <v>308</v>
      </c>
    </row>
    <row r="27" spans="2:4">
      <c r="D27" t="s">
        <v>309</v>
      </c>
    </row>
    <row r="29" spans="2:4">
      <c r="B29">
        <v>6</v>
      </c>
      <c r="D29" t="s">
        <v>152</v>
      </c>
    </row>
    <row r="30" spans="2:4">
      <c r="D30" t="s">
        <v>310</v>
      </c>
    </row>
  </sheetData>
  <pageMargins left="0.70866141732283505" right="0.70866141732283505" top="0.74803149606299202" bottom="0.74803149606299202" header="0.31496062992126" footer="0.31496062992126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908"/>
  <sheetViews>
    <sheetView topLeftCell="A404" zoomScale="80" zoomScaleNormal="80" workbookViewId="0">
      <selection activeCell="I421" sqref="I421"/>
    </sheetView>
  </sheetViews>
  <sheetFormatPr defaultColWidth="9" defaultRowHeight="12.75"/>
  <cols>
    <col min="2" max="2" width="22.85546875" customWidth="1"/>
    <col min="4" max="4" width="9.85546875"/>
    <col min="5" max="5" width="9.85546875" customWidth="1"/>
    <col min="6" max="6" width="10.7109375" customWidth="1"/>
    <col min="7" max="7" width="11.7109375" customWidth="1"/>
    <col min="12" max="12" width="10.85546875" customWidth="1"/>
    <col min="15" max="15" width="6.28515625" customWidth="1"/>
    <col min="16" max="16" width="22.28515625" customWidth="1"/>
    <col min="17" max="17" width="9.28515625" customWidth="1"/>
    <col min="18" max="18" width="11.28515625" customWidth="1"/>
    <col min="19" max="19" width="9.28515625" customWidth="1"/>
    <col min="20" max="20" width="10.28515625" customWidth="1"/>
    <col min="21" max="21" width="11.140625" customWidth="1"/>
    <col min="22" max="22" width="10.42578125" customWidth="1"/>
    <col min="23" max="24" width="9.28515625" customWidth="1"/>
    <col min="25" max="25" width="6.5703125" customWidth="1"/>
    <col min="26" max="26" width="7.28515625" customWidth="1"/>
    <col min="27" max="27" width="6.85546875" customWidth="1"/>
    <col min="28" max="28" width="6.140625" customWidth="1"/>
    <col min="29" max="29" width="5.28515625" customWidth="1"/>
    <col min="30" max="30" width="24.140625" customWidth="1"/>
    <col min="31" max="34" width="8.7109375" customWidth="1"/>
    <col min="35" max="35" width="10.28515625" customWidth="1"/>
    <col min="36" max="38" width="8.7109375" customWidth="1"/>
    <col min="42" max="42" width="5.28515625" customWidth="1"/>
    <col min="43" max="43" width="22.5703125" customWidth="1"/>
    <col min="44" max="44" width="8" customWidth="1"/>
    <col min="48" max="48" width="10.28515625" customWidth="1"/>
    <col min="49" max="49" width="10.140625" customWidth="1"/>
  </cols>
  <sheetData>
    <row r="1" spans="1:38" ht="24.95" customHeight="1">
      <c r="G1" s="48"/>
      <c r="H1" s="48"/>
      <c r="I1" s="48"/>
      <c r="J1" s="48"/>
      <c r="K1" s="48"/>
      <c r="U1" s="48"/>
      <c r="V1" s="48"/>
      <c r="W1" s="48"/>
      <c r="X1" s="48"/>
      <c r="AI1" s="48"/>
      <c r="AJ1" s="48"/>
      <c r="AK1" s="48"/>
      <c r="AL1" s="48"/>
    </row>
    <row r="2" spans="1:38" ht="24.95" customHeight="1">
      <c r="A2" s="632" t="s">
        <v>59</v>
      </c>
      <c r="B2" s="632"/>
      <c r="C2" s="632"/>
      <c r="D2" s="632"/>
      <c r="E2" s="632"/>
      <c r="F2" s="632"/>
      <c r="G2" s="632"/>
      <c r="H2" s="632"/>
      <c r="I2" s="632"/>
      <c r="J2" s="632"/>
      <c r="K2" s="296"/>
      <c r="O2" s="632" t="s">
        <v>59</v>
      </c>
      <c r="P2" s="632"/>
      <c r="Q2" s="632"/>
      <c r="R2" s="632"/>
      <c r="S2" s="632"/>
      <c r="T2" s="632"/>
      <c r="U2" s="632"/>
      <c r="V2" s="632"/>
      <c r="W2" s="632"/>
      <c r="X2" s="632"/>
      <c r="AC2" s="663" t="s">
        <v>59</v>
      </c>
      <c r="AD2" s="663"/>
      <c r="AE2" s="663"/>
      <c r="AF2" s="663"/>
      <c r="AG2" s="663"/>
      <c r="AH2" s="663"/>
      <c r="AI2" s="663"/>
      <c r="AJ2" s="663"/>
      <c r="AK2" s="663"/>
      <c r="AL2" s="663"/>
    </row>
    <row r="3" spans="1:38" ht="24.95" customHeight="1">
      <c r="A3" s="632" t="s">
        <v>1</v>
      </c>
      <c r="B3" s="632"/>
      <c r="C3" s="632"/>
      <c r="D3" s="632"/>
      <c r="E3" s="632"/>
      <c r="F3" s="632"/>
      <c r="G3" s="632"/>
      <c r="H3" s="632"/>
      <c r="I3" s="632"/>
      <c r="J3" s="632"/>
      <c r="K3" s="296"/>
      <c r="O3" s="632" t="s">
        <v>1</v>
      </c>
      <c r="P3" s="632"/>
      <c r="Q3" s="632"/>
      <c r="R3" s="632"/>
      <c r="S3" s="632"/>
      <c r="T3" s="632"/>
      <c r="U3" s="632"/>
      <c r="V3" s="632"/>
      <c r="W3" s="632"/>
      <c r="X3" s="632"/>
      <c r="AC3" s="663" t="s">
        <v>1</v>
      </c>
      <c r="AD3" s="663"/>
      <c r="AE3" s="663"/>
      <c r="AF3" s="663"/>
      <c r="AG3" s="663"/>
      <c r="AH3" s="663"/>
      <c r="AI3" s="663"/>
      <c r="AJ3" s="663"/>
      <c r="AK3" s="663"/>
      <c r="AL3" s="663"/>
    </row>
    <row r="4" spans="1:38" ht="24.95" customHeight="1">
      <c r="A4" s="632" t="s">
        <v>206</v>
      </c>
      <c r="B4" s="632"/>
      <c r="C4" s="632"/>
      <c r="D4" s="632"/>
      <c r="E4" s="632"/>
      <c r="F4" s="632"/>
      <c r="G4" s="632"/>
      <c r="H4" s="632"/>
      <c r="I4" s="632"/>
      <c r="J4" s="632"/>
      <c r="K4" s="296"/>
      <c r="O4" s="632" t="s">
        <v>60</v>
      </c>
      <c r="P4" s="632"/>
      <c r="Q4" s="632"/>
      <c r="R4" s="632"/>
      <c r="S4" s="632"/>
      <c r="T4" s="632"/>
      <c r="U4" s="632"/>
      <c r="V4" s="632"/>
      <c r="W4" s="632"/>
      <c r="X4" s="632"/>
      <c r="Z4" s="273"/>
      <c r="AC4" s="663" t="s">
        <v>101</v>
      </c>
      <c r="AD4" s="663"/>
      <c r="AE4" s="663"/>
      <c r="AF4" s="663"/>
      <c r="AG4" s="663"/>
      <c r="AH4" s="663"/>
      <c r="AI4" s="663"/>
      <c r="AJ4" s="663"/>
      <c r="AK4" s="663"/>
      <c r="AL4" s="663"/>
    </row>
    <row r="5" spans="1:38" ht="24.95" customHeight="1">
      <c r="A5" s="296"/>
      <c r="B5" s="296"/>
      <c r="C5" s="296"/>
      <c r="D5" s="296"/>
      <c r="E5" s="296"/>
      <c r="F5" s="296"/>
      <c r="G5" s="296"/>
      <c r="H5" s="296"/>
      <c r="I5" s="296"/>
      <c r="J5" s="296"/>
      <c r="K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AC5" s="82"/>
      <c r="AD5" s="82"/>
      <c r="AE5" s="82"/>
      <c r="AF5" s="82"/>
      <c r="AG5" s="82"/>
      <c r="AH5" s="82"/>
      <c r="AI5" s="82"/>
      <c r="AJ5" s="82"/>
      <c r="AK5" s="82"/>
      <c r="AL5" s="82"/>
    </row>
    <row r="6" spans="1:38" ht="24.95" customHeight="1">
      <c r="A6" s="2" t="s">
        <v>61</v>
      </c>
      <c r="B6" s="204"/>
      <c r="C6" s="2" t="s">
        <v>62</v>
      </c>
      <c r="D6" s="2"/>
      <c r="E6" s="2"/>
      <c r="F6" s="2"/>
      <c r="G6" s="2"/>
      <c r="H6" s="2"/>
      <c r="I6" s="2"/>
      <c r="J6" s="2"/>
      <c r="K6" s="2"/>
      <c r="L6" s="273">
        <f>K11+L11</f>
        <v>-30</v>
      </c>
      <c r="O6" s="2" t="s">
        <v>61</v>
      </c>
      <c r="P6" s="204"/>
      <c r="Q6" s="2" t="s">
        <v>62</v>
      </c>
      <c r="R6" s="2"/>
      <c r="S6" s="2"/>
      <c r="T6" s="2"/>
      <c r="U6" s="2"/>
      <c r="V6" s="2"/>
      <c r="W6" s="2"/>
      <c r="X6" s="2"/>
      <c r="AC6" t="s">
        <v>61</v>
      </c>
      <c r="AD6" s="48"/>
      <c r="AE6" t="s">
        <v>62</v>
      </c>
    </row>
    <row r="7" spans="1:38" ht="24.95" customHeight="1"/>
    <row r="8" spans="1:38" ht="30" customHeight="1">
      <c r="A8" s="297" t="s">
        <v>4</v>
      </c>
      <c r="B8" s="298" t="s">
        <v>63</v>
      </c>
      <c r="C8" s="298" t="s">
        <v>12</v>
      </c>
      <c r="D8" s="298" t="s">
        <v>13</v>
      </c>
      <c r="E8" s="298" t="s">
        <v>14</v>
      </c>
      <c r="F8" s="299" t="s">
        <v>64</v>
      </c>
      <c r="G8" s="299" t="s">
        <v>8</v>
      </c>
      <c r="H8" s="299" t="s">
        <v>9</v>
      </c>
      <c r="I8" s="299" t="s">
        <v>10</v>
      </c>
      <c r="J8" s="330" t="s">
        <v>11</v>
      </c>
      <c r="K8" s="613" t="s">
        <v>102</v>
      </c>
      <c r="L8" s="331"/>
      <c r="M8" s="331"/>
      <c r="N8" s="332"/>
      <c r="O8" s="297" t="s">
        <v>4</v>
      </c>
      <c r="P8" s="298" t="s">
        <v>63</v>
      </c>
      <c r="Q8" s="298" t="s">
        <v>12</v>
      </c>
      <c r="R8" s="298" t="s">
        <v>13</v>
      </c>
      <c r="S8" s="298" t="s">
        <v>14</v>
      </c>
      <c r="T8" s="299" t="s">
        <v>64</v>
      </c>
      <c r="U8" s="299" t="s">
        <v>8</v>
      </c>
      <c r="V8" s="299" t="s">
        <v>9</v>
      </c>
      <c r="W8" s="299" t="s">
        <v>10</v>
      </c>
      <c r="X8" s="330" t="s">
        <v>11</v>
      </c>
      <c r="Z8" s="357" t="s">
        <v>103</v>
      </c>
      <c r="AC8" s="297" t="s">
        <v>4</v>
      </c>
      <c r="AD8" s="298" t="s">
        <v>63</v>
      </c>
      <c r="AE8" s="298" t="s">
        <v>12</v>
      </c>
      <c r="AF8" s="298" t="s">
        <v>13</v>
      </c>
      <c r="AG8" s="298" t="s">
        <v>14</v>
      </c>
      <c r="AH8" s="299" t="s">
        <v>64</v>
      </c>
      <c r="AI8" s="299" t="s">
        <v>8</v>
      </c>
      <c r="AJ8" s="299" t="s">
        <v>9</v>
      </c>
      <c r="AK8" s="299" t="s">
        <v>10</v>
      </c>
      <c r="AL8" s="330" t="s">
        <v>11</v>
      </c>
    </row>
    <row r="9" spans="1:38" ht="24.95" customHeight="1">
      <c r="A9" s="300">
        <v>1</v>
      </c>
      <c r="B9" s="301">
        <v>2</v>
      </c>
      <c r="C9" s="301">
        <v>3</v>
      </c>
      <c r="D9" s="301">
        <v>4</v>
      </c>
      <c r="E9" s="301">
        <v>5</v>
      </c>
      <c r="F9" s="301">
        <v>6</v>
      </c>
      <c r="G9" s="301">
        <v>7</v>
      </c>
      <c r="H9" s="301">
        <v>8</v>
      </c>
      <c r="I9" s="301">
        <v>9</v>
      </c>
      <c r="J9" s="333">
        <v>10</v>
      </c>
      <c r="K9" s="334" t="s">
        <v>12</v>
      </c>
      <c r="L9" s="1" t="s">
        <v>13</v>
      </c>
      <c r="M9" s="1" t="s">
        <v>14</v>
      </c>
      <c r="N9" s="335" t="s">
        <v>65</v>
      </c>
      <c r="O9" s="300">
        <v>1</v>
      </c>
      <c r="P9" s="301">
        <v>2</v>
      </c>
      <c r="Q9" s="301">
        <v>3</v>
      </c>
      <c r="R9" s="301">
        <v>4</v>
      </c>
      <c r="S9" s="301">
        <v>5</v>
      </c>
      <c r="T9" s="301">
        <v>6</v>
      </c>
      <c r="U9" s="301">
        <v>7</v>
      </c>
      <c r="V9" s="301">
        <v>8</v>
      </c>
      <c r="W9" s="301">
        <v>9</v>
      </c>
      <c r="X9" s="333">
        <v>10</v>
      </c>
      <c r="Y9" s="1" t="s">
        <v>12</v>
      </c>
      <c r="Z9" s="47" t="s">
        <v>13</v>
      </c>
      <c r="AA9" s="1" t="s">
        <v>14</v>
      </c>
      <c r="AB9" s="1" t="s">
        <v>65</v>
      </c>
      <c r="AC9" s="300">
        <v>1</v>
      </c>
      <c r="AD9" s="301">
        <v>2</v>
      </c>
      <c r="AE9" s="301">
        <v>3</v>
      </c>
      <c r="AF9" s="301">
        <v>4</v>
      </c>
      <c r="AG9" s="301">
        <v>5</v>
      </c>
      <c r="AH9" s="301">
        <v>6</v>
      </c>
      <c r="AI9" s="301">
        <v>7</v>
      </c>
      <c r="AJ9" s="301">
        <v>8</v>
      </c>
      <c r="AK9" s="301">
        <v>9</v>
      </c>
      <c r="AL9" s="333">
        <v>10</v>
      </c>
    </row>
    <row r="10" spans="1:38" ht="24.95" customHeight="1">
      <c r="A10" s="16">
        <v>1</v>
      </c>
      <c r="B10" s="614" t="s">
        <v>66</v>
      </c>
      <c r="C10" s="302">
        <f>10</f>
        <v>10</v>
      </c>
      <c r="D10" s="302">
        <f>88-4-5</f>
        <v>79</v>
      </c>
      <c r="E10" s="303">
        <f>288-8</f>
        <v>280</v>
      </c>
      <c r="F10" s="302">
        <f t="shared" ref="F10:F15" si="0">E10+D10+C10</f>
        <v>369</v>
      </c>
      <c r="G10" s="424">
        <f>H10/1000*D10</f>
        <v>71.337000000000003</v>
      </c>
      <c r="H10" s="302">
        <v>903</v>
      </c>
      <c r="I10" s="302">
        <f>522-4</f>
        <v>518</v>
      </c>
      <c r="J10" s="336">
        <f>F10-T10</f>
        <v>-8</v>
      </c>
      <c r="K10" s="337">
        <f>C10-Q10</f>
        <v>0</v>
      </c>
      <c r="L10" s="273">
        <f>D10-R10</f>
        <v>-5</v>
      </c>
      <c r="M10">
        <f>E10-S10</f>
        <v>-3</v>
      </c>
      <c r="N10" s="273">
        <f>I10-W10</f>
        <v>-4</v>
      </c>
      <c r="O10" s="16">
        <v>1</v>
      </c>
      <c r="P10" s="338" t="s">
        <v>66</v>
      </c>
      <c r="Q10" s="302">
        <f>10</f>
        <v>10</v>
      </c>
      <c r="R10" s="302">
        <f>88-4</f>
        <v>84</v>
      </c>
      <c r="S10" s="303">
        <f>284-5+4</f>
        <v>283</v>
      </c>
      <c r="T10" s="302">
        <f t="shared" ref="T10:T15" si="1">S10+R10+Q10</f>
        <v>377</v>
      </c>
      <c r="U10" s="424">
        <f>V10/1000*R10</f>
        <v>75.852000000000004</v>
      </c>
      <c r="V10" s="302">
        <v>903</v>
      </c>
      <c r="W10" s="302">
        <f>524-2</f>
        <v>522</v>
      </c>
      <c r="X10" s="336">
        <f>T10-AH10</f>
        <v>-14</v>
      </c>
      <c r="Y10" s="273">
        <f t="shared" ref="Y10:AA15" si="2">Q10-AE10</f>
        <v>0</v>
      </c>
      <c r="Z10" s="358">
        <f t="shared" si="2"/>
        <v>-4</v>
      </c>
      <c r="AA10" s="358">
        <f t="shared" si="2"/>
        <v>-10</v>
      </c>
      <c r="AB10" s="273">
        <f>W10-AK10</f>
        <v>-6</v>
      </c>
      <c r="AC10" s="16">
        <v>1</v>
      </c>
      <c r="AD10" s="17" t="s">
        <v>66</v>
      </c>
      <c r="AE10" s="302">
        <v>10</v>
      </c>
      <c r="AF10" s="302">
        <v>88</v>
      </c>
      <c r="AG10" s="303">
        <f>304-6-5</f>
        <v>293</v>
      </c>
      <c r="AH10" s="302">
        <f t="shared" ref="AH10:AH15" si="3">AG10+AF10+AE10</f>
        <v>391</v>
      </c>
      <c r="AI10" s="361">
        <f>AJ10/1000*AF10</f>
        <v>79.463999999999999</v>
      </c>
      <c r="AJ10" s="302">
        <v>903</v>
      </c>
      <c r="AK10" s="302">
        <f>536-6-2</f>
        <v>528</v>
      </c>
      <c r="AL10" s="362"/>
    </row>
    <row r="11" spans="1:38" ht="24.95" customHeight="1">
      <c r="A11" s="22">
        <v>2</v>
      </c>
      <c r="B11" s="615" t="s">
        <v>67</v>
      </c>
      <c r="C11" s="304">
        <f>26-6</f>
        <v>20</v>
      </c>
      <c r="D11" s="304">
        <f>124+6-30</f>
        <v>100</v>
      </c>
      <c r="E11" s="305">
        <f>48-8</f>
        <v>40</v>
      </c>
      <c r="F11" s="304">
        <f t="shared" si="0"/>
        <v>160</v>
      </c>
      <c r="G11" s="557">
        <f t="shared" ref="G11:G15" si="4">H11/1000*D11</f>
        <v>90.3</v>
      </c>
      <c r="H11" s="304">
        <v>903</v>
      </c>
      <c r="I11" s="304">
        <f>140-20</f>
        <v>120</v>
      </c>
      <c r="J11" s="556">
        <f t="shared" ref="J11:J20" si="5">F11-T11</f>
        <v>-53</v>
      </c>
      <c r="K11" s="337">
        <f t="shared" ref="K11:K20" si="6">C11-Q11</f>
        <v>-6</v>
      </c>
      <c r="L11" s="273">
        <f t="shared" ref="L11:L20" si="7">D11-R11</f>
        <v>-24</v>
      </c>
      <c r="M11">
        <f t="shared" ref="M11:M20" si="8">E11-S11</f>
        <v>-23.000000000000014</v>
      </c>
      <c r="N11" s="273">
        <f t="shared" ref="N11:N20" si="9">I11-W11</f>
        <v>-20</v>
      </c>
      <c r="O11" s="22">
        <v>2</v>
      </c>
      <c r="P11" s="339" t="s">
        <v>67</v>
      </c>
      <c r="Q11" s="304">
        <f>38-12</f>
        <v>26</v>
      </c>
      <c r="R11" s="304">
        <f>208+12-96</f>
        <v>124</v>
      </c>
      <c r="S11" s="305">
        <f>78.3+96-111.3</f>
        <v>63.000000000000014</v>
      </c>
      <c r="T11" s="304">
        <f t="shared" si="1"/>
        <v>213</v>
      </c>
      <c r="U11" s="557">
        <f t="shared" ref="U11:U15" si="10">V11/1000*R11</f>
        <v>111.97200000000001</v>
      </c>
      <c r="V11" s="304">
        <v>903</v>
      </c>
      <c r="W11" s="304">
        <f>178-38</f>
        <v>140</v>
      </c>
      <c r="X11" s="351">
        <f>T11-AH11</f>
        <v>-277.3</v>
      </c>
      <c r="Y11" s="273">
        <f t="shared" si="2"/>
        <v>-20</v>
      </c>
      <c r="Z11" s="358">
        <f t="shared" si="2"/>
        <v>-221</v>
      </c>
      <c r="AA11" s="358">
        <f t="shared" si="2"/>
        <v>-36.299999999999983</v>
      </c>
      <c r="AB11" s="273">
        <f>W11-AK11</f>
        <v>-95</v>
      </c>
      <c r="AC11" s="22">
        <v>2</v>
      </c>
      <c r="AD11" s="23" t="s">
        <v>67</v>
      </c>
      <c r="AE11" s="304">
        <v>46</v>
      </c>
      <c r="AF11" s="304">
        <v>345</v>
      </c>
      <c r="AG11" s="305">
        <f>100.3-1</f>
        <v>99.3</v>
      </c>
      <c r="AH11" s="304">
        <f t="shared" si="3"/>
        <v>490.3</v>
      </c>
      <c r="AI11" s="306">
        <f t="shared" ref="AI11:AI15" si="11">AJ11/1000*AF11</f>
        <v>311.53500000000003</v>
      </c>
      <c r="AJ11" s="304">
        <v>903</v>
      </c>
      <c r="AK11" s="304">
        <v>235</v>
      </c>
      <c r="AL11" s="363"/>
    </row>
    <row r="12" spans="1:38" ht="24.95" customHeight="1">
      <c r="A12" s="26">
        <v>3</v>
      </c>
      <c r="B12" s="610" t="s">
        <v>68</v>
      </c>
      <c r="C12" s="304">
        <f>100</f>
        <v>100</v>
      </c>
      <c r="D12" s="304">
        <f>289</f>
        <v>289</v>
      </c>
      <c r="E12" s="304">
        <f>124-24</f>
        <v>100</v>
      </c>
      <c r="F12" s="304">
        <f t="shared" si="0"/>
        <v>489</v>
      </c>
      <c r="G12" s="557">
        <f t="shared" si="4"/>
        <v>260.96699999999998</v>
      </c>
      <c r="H12" s="304">
        <v>903</v>
      </c>
      <c r="I12" s="304">
        <f>506-5</f>
        <v>501</v>
      </c>
      <c r="J12" s="336">
        <f t="shared" si="5"/>
        <v>-27</v>
      </c>
      <c r="K12" s="337">
        <f t="shared" si="6"/>
        <v>0</v>
      </c>
      <c r="L12" s="273">
        <f t="shared" si="7"/>
        <v>0</v>
      </c>
      <c r="M12">
        <f t="shared" si="8"/>
        <v>-27</v>
      </c>
      <c r="N12" s="273">
        <f t="shared" si="9"/>
        <v>-5</v>
      </c>
      <c r="O12" s="26">
        <v>3</v>
      </c>
      <c r="P12" s="340" t="s">
        <v>68</v>
      </c>
      <c r="Q12" s="304">
        <f>100</f>
        <v>100</v>
      </c>
      <c r="R12" s="304">
        <f>332-43</f>
        <v>289</v>
      </c>
      <c r="S12" s="304">
        <f>132-5</f>
        <v>127</v>
      </c>
      <c r="T12" s="304">
        <f t="shared" si="1"/>
        <v>516</v>
      </c>
      <c r="U12" s="557">
        <f t="shared" si="10"/>
        <v>260.96699999999998</v>
      </c>
      <c r="V12" s="304">
        <v>903</v>
      </c>
      <c r="W12" s="304">
        <f>508-2</f>
        <v>506</v>
      </c>
      <c r="X12" s="351">
        <f>T12-AH12</f>
        <v>-18</v>
      </c>
      <c r="Y12" s="273">
        <f t="shared" si="2"/>
        <v>0</v>
      </c>
      <c r="Z12" s="358">
        <f t="shared" si="2"/>
        <v>0</v>
      </c>
      <c r="AA12" s="358">
        <f t="shared" si="2"/>
        <v>-18</v>
      </c>
      <c r="AB12" s="273">
        <f>W12-AK12</f>
        <v>-8</v>
      </c>
      <c r="AC12" s="26">
        <v>3</v>
      </c>
      <c r="AD12" s="27" t="s">
        <v>68</v>
      </c>
      <c r="AE12" s="304">
        <f>148-48</f>
        <v>100</v>
      </c>
      <c r="AF12" s="304">
        <f>332-43</f>
        <v>289</v>
      </c>
      <c r="AG12" s="304">
        <f>57+43+48-3</f>
        <v>145</v>
      </c>
      <c r="AH12" s="304">
        <f t="shared" si="3"/>
        <v>534</v>
      </c>
      <c r="AI12" s="306">
        <f t="shared" si="11"/>
        <v>260.96699999999998</v>
      </c>
      <c r="AJ12" s="304">
        <v>903</v>
      </c>
      <c r="AK12" s="304">
        <f>519-3-2</f>
        <v>514</v>
      </c>
      <c r="AL12" s="363"/>
    </row>
    <row r="13" spans="1:38" ht="24.95" customHeight="1">
      <c r="A13" s="26">
        <v>4</v>
      </c>
      <c r="B13" s="555" t="s">
        <v>69</v>
      </c>
      <c r="C13" s="304">
        <f>20-20</f>
        <v>0</v>
      </c>
      <c r="D13" s="304">
        <f>20</f>
        <v>20</v>
      </c>
      <c r="E13" s="305">
        <f>22-4</f>
        <v>18</v>
      </c>
      <c r="F13" s="304">
        <f t="shared" si="0"/>
        <v>38</v>
      </c>
      <c r="G13" s="557">
        <f t="shared" si="4"/>
        <v>18.060000000000002</v>
      </c>
      <c r="H13" s="304">
        <v>903</v>
      </c>
      <c r="I13" s="304">
        <f>181-2</f>
        <v>179</v>
      </c>
      <c r="J13" s="336">
        <f t="shared" si="5"/>
        <v>0</v>
      </c>
      <c r="K13" s="337">
        <f t="shared" si="6"/>
        <v>0</v>
      </c>
      <c r="L13" s="273">
        <f t="shared" si="7"/>
        <v>0</v>
      </c>
      <c r="M13">
        <f t="shared" si="8"/>
        <v>0</v>
      </c>
      <c r="N13" s="273">
        <f t="shared" si="9"/>
        <v>0</v>
      </c>
      <c r="O13" s="26">
        <v>4</v>
      </c>
      <c r="P13" s="340" t="s">
        <v>69</v>
      </c>
      <c r="Q13" s="304">
        <f>20-20</f>
        <v>0</v>
      </c>
      <c r="R13" s="304">
        <f>100+20-100</f>
        <v>20</v>
      </c>
      <c r="S13" s="305">
        <f>22-4</f>
        <v>18</v>
      </c>
      <c r="T13" s="304">
        <f t="shared" si="1"/>
        <v>38</v>
      </c>
      <c r="U13" s="557">
        <f t="shared" si="10"/>
        <v>18.060000000000002</v>
      </c>
      <c r="V13" s="304">
        <v>903</v>
      </c>
      <c r="W13" s="304">
        <f>181-2</f>
        <v>179</v>
      </c>
      <c r="X13" s="351">
        <f>T13-AH13</f>
        <v>-180</v>
      </c>
      <c r="Y13" s="273">
        <f t="shared" si="2"/>
        <v>-24</v>
      </c>
      <c r="Z13" s="358">
        <f t="shared" si="2"/>
        <v>-82</v>
      </c>
      <c r="AA13" s="358">
        <f t="shared" si="2"/>
        <v>-74</v>
      </c>
      <c r="AB13" s="273">
        <f>W13-AK13</f>
        <v>-57</v>
      </c>
      <c r="AC13" s="26">
        <v>4</v>
      </c>
      <c r="AD13" s="27" t="s">
        <v>69</v>
      </c>
      <c r="AE13" s="304">
        <v>24</v>
      </c>
      <c r="AF13" s="304">
        <v>102</v>
      </c>
      <c r="AG13" s="305">
        <f>93-1</f>
        <v>92</v>
      </c>
      <c r="AH13" s="304">
        <f t="shared" si="3"/>
        <v>218</v>
      </c>
      <c r="AI13" s="306">
        <f t="shared" si="11"/>
        <v>92.106000000000009</v>
      </c>
      <c r="AJ13" s="304">
        <v>903</v>
      </c>
      <c r="AK13" s="304">
        <v>236</v>
      </c>
      <c r="AL13" s="363"/>
    </row>
    <row r="14" spans="1:38" ht="24.95" customHeight="1">
      <c r="A14" s="26">
        <v>5</v>
      </c>
      <c r="B14" s="610" t="s">
        <v>70</v>
      </c>
      <c r="C14" s="304">
        <f>33-4</f>
        <v>29</v>
      </c>
      <c r="D14" s="304">
        <f>128+4</f>
        <v>132</v>
      </c>
      <c r="E14" s="305">
        <f>103-10</f>
        <v>93</v>
      </c>
      <c r="F14" s="304">
        <f t="shared" si="0"/>
        <v>254</v>
      </c>
      <c r="G14" s="557">
        <f t="shared" si="4"/>
        <v>119.196</v>
      </c>
      <c r="H14" s="304">
        <v>903</v>
      </c>
      <c r="I14" s="304">
        <f>351-5</f>
        <v>346</v>
      </c>
      <c r="J14" s="336">
        <f t="shared" si="5"/>
        <v>-25</v>
      </c>
      <c r="K14" s="337">
        <f t="shared" si="6"/>
        <v>0</v>
      </c>
      <c r="L14" s="273">
        <f t="shared" si="7"/>
        <v>0</v>
      </c>
      <c r="M14">
        <f t="shared" si="8"/>
        <v>-25</v>
      </c>
      <c r="N14" s="273">
        <f t="shared" si="9"/>
        <v>-5</v>
      </c>
      <c r="O14" s="26">
        <v>5</v>
      </c>
      <c r="P14" s="340" t="s">
        <v>70</v>
      </c>
      <c r="Q14" s="304">
        <f>33-4</f>
        <v>29</v>
      </c>
      <c r="R14" s="304">
        <f>128+4</f>
        <v>132</v>
      </c>
      <c r="S14" s="305">
        <f>133-15</f>
        <v>118</v>
      </c>
      <c r="T14" s="304">
        <f t="shared" si="1"/>
        <v>279</v>
      </c>
      <c r="U14" s="557">
        <f t="shared" si="10"/>
        <v>119.196</v>
      </c>
      <c r="V14" s="304">
        <v>903</v>
      </c>
      <c r="W14" s="304">
        <f>358-7</f>
        <v>351</v>
      </c>
      <c r="X14" s="351"/>
      <c r="Y14" s="273">
        <f t="shared" si="2"/>
        <v>-12</v>
      </c>
      <c r="Z14" s="358">
        <f t="shared" si="2"/>
        <v>12</v>
      </c>
      <c r="AA14" s="358">
        <f t="shared" si="2"/>
        <v>-15</v>
      </c>
      <c r="AB14" s="273"/>
      <c r="AC14" s="26">
        <v>5</v>
      </c>
      <c r="AD14" s="27" t="s">
        <v>70</v>
      </c>
      <c r="AE14" s="304">
        <v>41</v>
      </c>
      <c r="AF14" s="304">
        <v>120</v>
      </c>
      <c r="AG14" s="305">
        <f>136-3</f>
        <v>133</v>
      </c>
      <c r="AH14" s="304">
        <f t="shared" si="3"/>
        <v>294</v>
      </c>
      <c r="AI14" s="306">
        <f t="shared" si="11"/>
        <v>108.36</v>
      </c>
      <c r="AJ14" s="304">
        <v>903</v>
      </c>
      <c r="AK14" s="304">
        <f>359-1</f>
        <v>358</v>
      </c>
      <c r="AL14" s="363"/>
    </row>
    <row r="15" spans="1:38" ht="24.95" customHeight="1">
      <c r="A15" s="26">
        <v>6</v>
      </c>
      <c r="B15" s="609" t="s">
        <v>71</v>
      </c>
      <c r="C15" s="309">
        <f>47-2</f>
        <v>45</v>
      </c>
      <c r="D15" s="304">
        <f>584+2-6</f>
        <v>580</v>
      </c>
      <c r="E15" s="305">
        <f>141+6</f>
        <v>147</v>
      </c>
      <c r="F15" s="304">
        <f t="shared" si="0"/>
        <v>772</v>
      </c>
      <c r="G15" s="557">
        <f t="shared" si="4"/>
        <v>523.74</v>
      </c>
      <c r="H15" s="304">
        <v>903</v>
      </c>
      <c r="I15" s="304">
        <f>811-2</f>
        <v>809</v>
      </c>
      <c r="J15" s="336">
        <f t="shared" si="5"/>
        <v>-4</v>
      </c>
      <c r="K15" s="337">
        <f t="shared" si="6"/>
        <v>-2</v>
      </c>
      <c r="L15" s="273">
        <f t="shared" si="7"/>
        <v>-4</v>
      </c>
      <c r="M15">
        <f t="shared" si="8"/>
        <v>2</v>
      </c>
      <c r="N15" s="273">
        <f t="shared" si="9"/>
        <v>-2</v>
      </c>
      <c r="O15" s="26">
        <v>6</v>
      </c>
      <c r="P15" s="341" t="s">
        <v>71</v>
      </c>
      <c r="Q15" s="309">
        <f>51-4</f>
        <v>47</v>
      </c>
      <c r="R15" s="304">
        <f>580+4</f>
        <v>584</v>
      </c>
      <c r="S15" s="305">
        <f>151-6</f>
        <v>145</v>
      </c>
      <c r="T15" s="304">
        <f t="shared" si="1"/>
        <v>776</v>
      </c>
      <c r="U15" s="557">
        <f t="shared" si="10"/>
        <v>527.35199999999998</v>
      </c>
      <c r="V15" s="304">
        <v>903</v>
      </c>
      <c r="W15" s="304">
        <f>814-3</f>
        <v>811</v>
      </c>
      <c r="X15" s="351">
        <f>T15-AH15</f>
        <v>-12</v>
      </c>
      <c r="Y15" s="273">
        <f t="shared" si="2"/>
        <v>-10</v>
      </c>
      <c r="Z15" s="358">
        <f t="shared" si="2"/>
        <v>-4</v>
      </c>
      <c r="AA15" s="358">
        <f t="shared" si="2"/>
        <v>2</v>
      </c>
      <c r="AB15" s="273">
        <f>W15-AK15</f>
        <v>-5</v>
      </c>
      <c r="AC15" s="26">
        <v>6</v>
      </c>
      <c r="AD15" s="32" t="s">
        <v>71</v>
      </c>
      <c r="AE15" s="309">
        <f>62-3-2</f>
        <v>57</v>
      </c>
      <c r="AF15" s="304">
        <f>583+3+2</f>
        <v>588</v>
      </c>
      <c r="AG15" s="305">
        <f>152-5-4</f>
        <v>143</v>
      </c>
      <c r="AH15" s="304">
        <f t="shared" si="3"/>
        <v>788</v>
      </c>
      <c r="AI15" s="306">
        <f t="shared" si="11"/>
        <v>530.96400000000006</v>
      </c>
      <c r="AJ15" s="304">
        <v>903</v>
      </c>
      <c r="AK15" s="304">
        <f>823-5-2</f>
        <v>816</v>
      </c>
      <c r="AL15" s="363"/>
    </row>
    <row r="16" spans="1:38" ht="24.95" customHeight="1">
      <c r="A16" s="26">
        <v>7</v>
      </c>
      <c r="B16" s="310" t="s">
        <v>72</v>
      </c>
      <c r="C16" s="304" t="s">
        <v>20</v>
      </c>
      <c r="D16" s="304" t="s">
        <v>20</v>
      </c>
      <c r="E16" s="305" t="s">
        <v>20</v>
      </c>
      <c r="F16" s="304" t="s">
        <v>20</v>
      </c>
      <c r="G16" s="557" t="s">
        <v>20</v>
      </c>
      <c r="H16" s="304" t="s">
        <v>20</v>
      </c>
      <c r="I16" s="304" t="s">
        <v>20</v>
      </c>
      <c r="J16" s="336"/>
      <c r="K16" s="337"/>
      <c r="L16" s="273"/>
      <c r="N16" s="273"/>
      <c r="O16" s="26">
        <v>7</v>
      </c>
      <c r="P16" s="310" t="s">
        <v>72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0</v>
      </c>
      <c r="W16" s="304">
        <v>0</v>
      </c>
      <c r="X16" s="351"/>
      <c r="Z16" s="358"/>
      <c r="AA16" s="358"/>
      <c r="AC16" s="26">
        <v>7</v>
      </c>
      <c r="AD16" s="27" t="s">
        <v>72</v>
      </c>
      <c r="AE16" s="304" t="s">
        <v>20</v>
      </c>
      <c r="AF16" s="304" t="s">
        <v>20</v>
      </c>
      <c r="AG16" s="305" t="s">
        <v>20</v>
      </c>
      <c r="AH16" s="304" t="s">
        <v>20</v>
      </c>
      <c r="AI16" s="306" t="s">
        <v>20</v>
      </c>
      <c r="AJ16" s="304" t="s">
        <v>20</v>
      </c>
      <c r="AK16" s="304" t="s">
        <v>20</v>
      </c>
      <c r="AL16" s="363"/>
    </row>
    <row r="17" spans="1:38" ht="24.95" customHeight="1">
      <c r="A17" s="26">
        <v>8</v>
      </c>
      <c r="B17" s="310" t="s">
        <v>73</v>
      </c>
      <c r="C17" s="304" t="s">
        <v>20</v>
      </c>
      <c r="D17" s="304" t="s">
        <v>20</v>
      </c>
      <c r="E17" s="304" t="s">
        <v>20</v>
      </c>
      <c r="F17" s="304" t="s">
        <v>20</v>
      </c>
      <c r="G17" s="557" t="s">
        <v>20</v>
      </c>
      <c r="H17" s="304" t="s">
        <v>20</v>
      </c>
      <c r="I17" s="309" t="s">
        <v>20</v>
      </c>
      <c r="J17" s="336"/>
      <c r="K17" s="337"/>
      <c r="L17" s="273"/>
      <c r="N17" s="273"/>
      <c r="O17" s="26">
        <v>8</v>
      </c>
      <c r="P17" s="310" t="s">
        <v>73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51"/>
      <c r="Z17" s="358"/>
      <c r="AA17" s="358"/>
      <c r="AC17" s="26">
        <v>8</v>
      </c>
      <c r="AD17" s="27" t="s">
        <v>73</v>
      </c>
      <c r="AE17" s="304" t="s">
        <v>20</v>
      </c>
      <c r="AF17" s="304" t="s">
        <v>20</v>
      </c>
      <c r="AG17" s="304" t="s">
        <v>20</v>
      </c>
      <c r="AH17" s="304" t="s">
        <v>20</v>
      </c>
      <c r="AI17" s="306" t="s">
        <v>20</v>
      </c>
      <c r="AJ17" s="304" t="s">
        <v>20</v>
      </c>
      <c r="AK17" s="309" t="s">
        <v>20</v>
      </c>
      <c r="AL17" s="363"/>
    </row>
    <row r="18" spans="1:38" ht="24.95" customHeight="1">
      <c r="A18" s="26">
        <v>9</v>
      </c>
      <c r="B18" s="310" t="s">
        <v>74</v>
      </c>
      <c r="C18" s="304" t="s">
        <v>20</v>
      </c>
      <c r="D18" s="304" t="s">
        <v>20</v>
      </c>
      <c r="E18" s="305" t="s">
        <v>20</v>
      </c>
      <c r="F18" s="304" t="s">
        <v>20</v>
      </c>
      <c r="G18" s="557" t="s">
        <v>20</v>
      </c>
      <c r="H18" s="304" t="s">
        <v>20</v>
      </c>
      <c r="I18" s="304" t="s">
        <v>20</v>
      </c>
      <c r="J18" s="336"/>
      <c r="K18" s="337"/>
      <c r="L18" s="273"/>
      <c r="N18" s="273"/>
      <c r="O18" s="26">
        <v>9</v>
      </c>
      <c r="P18" s="310" t="s">
        <v>74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0</v>
      </c>
      <c r="W18" s="304">
        <v>0</v>
      </c>
      <c r="X18" s="351"/>
      <c r="Z18" s="358"/>
      <c r="AA18" s="358"/>
      <c r="AC18" s="26">
        <v>9</v>
      </c>
      <c r="AD18" s="27" t="s">
        <v>74</v>
      </c>
      <c r="AE18" s="304" t="s">
        <v>20</v>
      </c>
      <c r="AF18" s="304" t="s">
        <v>20</v>
      </c>
      <c r="AG18" s="305" t="s">
        <v>20</v>
      </c>
      <c r="AH18" s="304" t="s">
        <v>20</v>
      </c>
      <c r="AI18" s="306" t="s">
        <v>20</v>
      </c>
      <c r="AJ18" s="304" t="s">
        <v>20</v>
      </c>
      <c r="AK18" s="304" t="s">
        <v>20</v>
      </c>
      <c r="AL18" s="363"/>
    </row>
    <row r="19" spans="1:38" ht="24.95" customHeight="1">
      <c r="A19" s="26">
        <v>10</v>
      </c>
      <c r="B19" s="610" t="s">
        <v>75</v>
      </c>
      <c r="C19" s="304">
        <f>6-1</f>
        <v>5</v>
      </c>
      <c r="D19" s="304">
        <f>21+1</f>
        <v>22</v>
      </c>
      <c r="E19" s="305">
        <f>36+2</f>
        <v>38</v>
      </c>
      <c r="F19" s="304">
        <f t="shared" ref="F19:F20" si="12">E19+D19+C19</f>
        <v>65</v>
      </c>
      <c r="G19" s="557">
        <f t="shared" ref="G19:G21" si="13">H19/1000*D19</f>
        <v>19.866</v>
      </c>
      <c r="H19" s="304">
        <v>903</v>
      </c>
      <c r="I19" s="304">
        <f>34-1</f>
        <v>33</v>
      </c>
      <c r="J19" s="336">
        <f t="shared" si="5"/>
        <v>0</v>
      </c>
      <c r="K19" s="337">
        <f t="shared" si="6"/>
        <v>0</v>
      </c>
      <c r="L19" s="273">
        <f t="shared" si="7"/>
        <v>0</v>
      </c>
      <c r="M19">
        <f t="shared" si="8"/>
        <v>0</v>
      </c>
      <c r="N19" s="273">
        <f t="shared" si="9"/>
        <v>0</v>
      </c>
      <c r="O19" s="26">
        <v>10</v>
      </c>
      <c r="P19" s="340" t="s">
        <v>75</v>
      </c>
      <c r="Q19" s="304">
        <f>6-1</f>
        <v>5</v>
      </c>
      <c r="R19" s="304">
        <f>21+1</f>
        <v>22</v>
      </c>
      <c r="S19" s="305">
        <f>36+2</f>
        <v>38</v>
      </c>
      <c r="T19" s="304">
        <f t="shared" ref="T19:T20" si="14">S19+R19+Q19</f>
        <v>65</v>
      </c>
      <c r="U19" s="557">
        <f t="shared" ref="U19:U20" si="15">V19/1000*R19</f>
        <v>19.866</v>
      </c>
      <c r="V19" s="304">
        <v>903</v>
      </c>
      <c r="W19" s="304">
        <f>34-1</f>
        <v>33</v>
      </c>
      <c r="X19" s="351">
        <f>AH19-T19</f>
        <v>0</v>
      </c>
      <c r="Y19" s="273">
        <f>Q19-AE19</f>
        <v>-5</v>
      </c>
      <c r="Z19" s="358">
        <f>R19-AF19</f>
        <v>3</v>
      </c>
      <c r="AA19" s="358">
        <f>S19-AG19</f>
        <v>2</v>
      </c>
      <c r="AB19" s="273">
        <f>W19-AK19</f>
        <v>0</v>
      </c>
      <c r="AC19" s="26">
        <v>10</v>
      </c>
      <c r="AD19" s="27" t="s">
        <v>75</v>
      </c>
      <c r="AE19" s="304">
        <f>11-1</f>
        <v>10</v>
      </c>
      <c r="AF19" s="304">
        <v>19</v>
      </c>
      <c r="AG19" s="305">
        <f>35+1</f>
        <v>36</v>
      </c>
      <c r="AH19" s="304">
        <f t="shared" ref="AH19:AH20" si="16">AG19+AF19+AE19</f>
        <v>65</v>
      </c>
      <c r="AI19" s="306">
        <f t="shared" ref="AI19:AI21" si="17">AJ19/1000*AF19</f>
        <v>17.157</v>
      </c>
      <c r="AJ19" s="304">
        <v>903</v>
      </c>
      <c r="AK19" s="304">
        <f>34-1</f>
        <v>33</v>
      </c>
      <c r="AL19" s="363"/>
    </row>
    <row r="20" spans="1:38" ht="24.95" customHeight="1">
      <c r="A20" s="26">
        <v>11</v>
      </c>
      <c r="B20" s="311" t="s">
        <v>76</v>
      </c>
      <c r="C20" s="312">
        <f>33-3</f>
        <v>30</v>
      </c>
      <c r="D20" s="312">
        <f>215+3</f>
        <v>218</v>
      </c>
      <c r="E20" s="313">
        <f>25-10</f>
        <v>15</v>
      </c>
      <c r="F20" s="312">
        <f t="shared" si="12"/>
        <v>263</v>
      </c>
      <c r="G20" s="558">
        <f t="shared" si="13"/>
        <v>196.85400000000001</v>
      </c>
      <c r="H20" s="312">
        <v>903</v>
      </c>
      <c r="I20" s="312">
        <f>224-10</f>
        <v>214</v>
      </c>
      <c r="J20" s="336">
        <f t="shared" si="5"/>
        <v>0</v>
      </c>
      <c r="K20" s="337">
        <f t="shared" si="6"/>
        <v>0</v>
      </c>
      <c r="L20" s="273">
        <f t="shared" si="7"/>
        <v>0</v>
      </c>
      <c r="M20">
        <f t="shared" si="8"/>
        <v>0</v>
      </c>
      <c r="N20" s="273">
        <f t="shared" si="9"/>
        <v>0</v>
      </c>
      <c r="O20" s="26">
        <v>11</v>
      </c>
      <c r="P20" s="342" t="s">
        <v>76</v>
      </c>
      <c r="Q20" s="312">
        <f>33-3</f>
        <v>30</v>
      </c>
      <c r="R20" s="312">
        <f>215+3</f>
        <v>218</v>
      </c>
      <c r="S20" s="313">
        <f>25-10</f>
        <v>15</v>
      </c>
      <c r="T20" s="312">
        <f t="shared" si="14"/>
        <v>263</v>
      </c>
      <c r="U20" s="558">
        <f t="shared" si="15"/>
        <v>196.85400000000001</v>
      </c>
      <c r="V20" s="312">
        <v>903</v>
      </c>
      <c r="W20" s="312">
        <f>224-10</f>
        <v>214</v>
      </c>
      <c r="X20" s="352">
        <f>AH20-T20</f>
        <v>0</v>
      </c>
      <c r="Y20" s="273">
        <f>AE20-Q20</f>
        <v>100</v>
      </c>
      <c r="Z20" s="358">
        <f>AF20-R20</f>
        <v>-100</v>
      </c>
      <c r="AA20" s="358">
        <f>AG20-S20</f>
        <v>0</v>
      </c>
      <c r="AB20" s="273">
        <f>W20-AK20</f>
        <v>0</v>
      </c>
      <c r="AC20" s="111">
        <v>11</v>
      </c>
      <c r="AD20" s="35" t="s">
        <v>76</v>
      </c>
      <c r="AE20" s="312">
        <v>130</v>
      </c>
      <c r="AF20" s="312">
        <v>118</v>
      </c>
      <c r="AG20" s="313">
        <f>25-10</f>
        <v>15</v>
      </c>
      <c r="AH20" s="312">
        <f t="shared" si="16"/>
        <v>263</v>
      </c>
      <c r="AI20" s="314">
        <f t="shared" si="17"/>
        <v>106.554</v>
      </c>
      <c r="AJ20" s="312">
        <v>903</v>
      </c>
      <c r="AK20" s="312">
        <f>224-10</f>
        <v>214</v>
      </c>
      <c r="AL20" s="364"/>
    </row>
    <row r="21" spans="1:38" ht="24.95" customHeight="1">
      <c r="A21" s="666" t="s">
        <v>77</v>
      </c>
      <c r="B21" s="668"/>
      <c r="C21" s="315">
        <f>SUM(C10:C20)</f>
        <v>239</v>
      </c>
      <c r="D21" s="316">
        <f>SUM(D10:D20)</f>
        <v>1440</v>
      </c>
      <c r="E21" s="315">
        <f>SUM(E10:E20)</f>
        <v>731</v>
      </c>
      <c r="F21" s="316">
        <f>SUM(F10:F20)</f>
        <v>2410</v>
      </c>
      <c r="G21" s="559">
        <f t="shared" si="13"/>
        <v>1300.32</v>
      </c>
      <c r="H21" s="317">
        <v>903</v>
      </c>
      <c r="I21" s="343">
        <f>SUM(I10:I20)</f>
        <v>2720</v>
      </c>
      <c r="J21" s="344">
        <f>SUM(J10:J15)</f>
        <v>-117</v>
      </c>
      <c r="K21" s="337">
        <f>SUM(K10:K20)</f>
        <v>-8</v>
      </c>
      <c r="L21" s="337">
        <f t="shared" ref="L21:N21" si="18">SUM(L10:L20)</f>
        <v>-33</v>
      </c>
      <c r="M21" s="337">
        <f t="shared" si="18"/>
        <v>-76.000000000000014</v>
      </c>
      <c r="N21" s="337">
        <f t="shared" si="18"/>
        <v>-36</v>
      </c>
      <c r="O21" s="666" t="s">
        <v>77</v>
      </c>
      <c r="P21" s="668"/>
      <c r="Q21" s="353">
        <f>SUM(Q10:Q20)</f>
        <v>247</v>
      </c>
      <c r="R21" s="354">
        <f>SUM(R10:R20)</f>
        <v>1473</v>
      </c>
      <c r="S21" s="353">
        <f>SUM(S10:S20)</f>
        <v>807</v>
      </c>
      <c r="T21" s="354">
        <f>SUM(T10:T20)</f>
        <v>2527</v>
      </c>
      <c r="U21" s="559">
        <f t="shared" ref="U21" si="19">V21/1000*R21</f>
        <v>1330.1190000000001</v>
      </c>
      <c r="V21" s="317">
        <v>903</v>
      </c>
      <c r="W21" s="343">
        <f>SUM(W10:W20)</f>
        <v>2756</v>
      </c>
      <c r="X21" s="344">
        <f>SUM(X10:X15)</f>
        <v>-501.3</v>
      </c>
      <c r="Z21" s="358"/>
      <c r="AA21" s="358"/>
      <c r="AC21" s="669" t="s">
        <v>77</v>
      </c>
      <c r="AD21" s="668"/>
      <c r="AE21" s="359">
        <f>SUM(AE10:AE20)</f>
        <v>418</v>
      </c>
      <c r="AF21" s="360">
        <f>SUM(AF10:AF20)</f>
        <v>1669</v>
      </c>
      <c r="AG21" s="365">
        <f>SUM(AG10:AG20)</f>
        <v>956.3</v>
      </c>
      <c r="AH21" s="360">
        <f>SUM(AH10:AH20)</f>
        <v>3043.3</v>
      </c>
      <c r="AI21" s="355">
        <f t="shared" si="17"/>
        <v>1507.107</v>
      </c>
      <c r="AJ21" s="317">
        <v>903</v>
      </c>
      <c r="AK21" s="343">
        <f>SUM(AK10:AL20)</f>
        <v>2934</v>
      </c>
      <c r="AL21" s="344"/>
    </row>
    <row r="22" spans="1:38" ht="24.95" customHeight="1">
      <c r="C22" s="318">
        <f t="shared" ref="C22:F22" si="20">C21-Q21</f>
        <v>-8</v>
      </c>
      <c r="D22" s="318">
        <f t="shared" si="20"/>
        <v>-33</v>
      </c>
      <c r="E22" s="318">
        <f t="shared" si="20"/>
        <v>-76</v>
      </c>
      <c r="F22" s="318">
        <f t="shared" si="20"/>
        <v>-117</v>
      </c>
      <c r="G22" s="318">
        <f>G21-U21</f>
        <v>-29.799000000000206</v>
      </c>
      <c r="H22" s="318">
        <f t="shared" ref="H22:I22" si="21">H21-V21</f>
        <v>0</v>
      </c>
      <c r="I22" s="318">
        <f t="shared" si="21"/>
        <v>-36</v>
      </c>
      <c r="Q22" s="318">
        <f t="shared" ref="Q22:W22" si="22">Q21-AE21</f>
        <v>-171</v>
      </c>
      <c r="R22" s="318">
        <f t="shared" si="22"/>
        <v>-196</v>
      </c>
      <c r="S22" s="319">
        <f t="shared" si="22"/>
        <v>-149.29999999999995</v>
      </c>
      <c r="T22" s="319">
        <f t="shared" si="22"/>
        <v>-516.30000000000018</v>
      </c>
      <c r="U22" s="318">
        <f t="shared" si="22"/>
        <v>-176.98799999999983</v>
      </c>
      <c r="V22" s="318">
        <f t="shared" si="22"/>
        <v>0</v>
      </c>
      <c r="W22" s="318">
        <f t="shared" si="22"/>
        <v>-178</v>
      </c>
      <c r="Y22" s="273">
        <f>SUM(Y10:Y15)</f>
        <v>-66</v>
      </c>
      <c r="Z22" s="358">
        <f>SUM(Z10:Z20)</f>
        <v>-396</v>
      </c>
      <c r="AA22" s="358">
        <f>SUM(AA10:AA21)</f>
        <v>-149.29999999999998</v>
      </c>
      <c r="AB22" s="358">
        <f>SUM(AB10:AB21)</f>
        <v>-171</v>
      </c>
      <c r="AE22" s="273"/>
      <c r="AI22" s="345"/>
      <c r="AK22" s="318"/>
    </row>
    <row r="23" spans="1:38" ht="24.95" customHeight="1">
      <c r="A23" s="6" t="s">
        <v>12</v>
      </c>
      <c r="B23" s="320" t="s">
        <v>33</v>
      </c>
      <c r="C23" s="321"/>
      <c r="D23" s="322"/>
      <c r="E23" s="322"/>
      <c r="F23" s="273"/>
      <c r="G23" s="670"/>
      <c r="H23" s="638"/>
      <c r="I23" s="638"/>
      <c r="J23" s="638"/>
      <c r="K23" s="44"/>
      <c r="L23" s="273"/>
      <c r="O23" s="6" t="s">
        <v>12</v>
      </c>
      <c r="P23" s="320" t="s">
        <v>33</v>
      </c>
      <c r="Q23" s="321"/>
      <c r="R23" s="322"/>
      <c r="S23" s="322"/>
      <c r="T23" s="273"/>
      <c r="U23" s="670"/>
      <c r="V23" s="638"/>
      <c r="W23" s="638"/>
      <c r="X23" s="638"/>
      <c r="AE23" s="273"/>
      <c r="AF23" s="290"/>
      <c r="AG23" s="322"/>
      <c r="AH23" s="273"/>
      <c r="AI23" s="366"/>
      <c r="AJ23" s="367"/>
      <c r="AK23" s="367"/>
    </row>
    <row r="24" spans="1:38" ht="24.95" customHeight="1">
      <c r="A24" s="6" t="s">
        <v>13</v>
      </c>
      <c r="B24" s="320" t="s">
        <v>34</v>
      </c>
      <c r="C24" s="2"/>
      <c r="E24" s="292"/>
      <c r="F24" s="320"/>
      <c r="G24" s="670"/>
      <c r="H24" s="638"/>
      <c r="I24" s="638"/>
      <c r="J24" s="638"/>
      <c r="K24" s="44"/>
      <c r="O24" s="6" t="s">
        <v>13</v>
      </c>
      <c r="P24" s="320" t="s">
        <v>34</v>
      </c>
      <c r="Q24" s="2"/>
      <c r="T24" s="320"/>
      <c r="U24" s="670"/>
      <c r="V24" s="638"/>
      <c r="W24" s="638"/>
      <c r="X24" s="638"/>
      <c r="AE24" s="273"/>
      <c r="AI24" s="1" t="s">
        <v>104</v>
      </c>
    </row>
    <row r="25" spans="1:38" ht="24.95" customHeight="1">
      <c r="A25" s="6" t="s">
        <v>14</v>
      </c>
      <c r="B25" s="320" t="s">
        <v>35</v>
      </c>
      <c r="C25" s="2"/>
      <c r="E25" s="292"/>
      <c r="F25" s="6"/>
      <c r="G25" s="638"/>
      <c r="H25" s="638"/>
      <c r="I25" s="638"/>
      <c r="J25" s="638"/>
      <c r="K25" s="44"/>
      <c r="O25" s="6" t="s">
        <v>14</v>
      </c>
      <c r="P25" s="320" t="s">
        <v>35</v>
      </c>
      <c r="Q25" s="2"/>
      <c r="T25" s="6"/>
      <c r="U25" s="638"/>
      <c r="V25" s="638"/>
      <c r="W25" s="638"/>
      <c r="X25" s="638"/>
      <c r="AE25" s="273"/>
      <c r="AI25" s="266" t="s">
        <v>105</v>
      </c>
      <c r="AJ25" s="323"/>
      <c r="AK25" s="323"/>
      <c r="AL25" s="323"/>
    </row>
    <row r="26" spans="1:38" ht="24.95" customHeight="1">
      <c r="E26" s="292"/>
      <c r="F26" s="6"/>
      <c r="G26" s="45"/>
      <c r="H26" s="45"/>
      <c r="I26" s="45"/>
      <c r="J26" s="45"/>
      <c r="K26" s="45"/>
      <c r="T26" s="6"/>
      <c r="U26" s="45"/>
      <c r="V26" s="45"/>
      <c r="W26" s="45"/>
      <c r="X26" s="45"/>
      <c r="AE26" s="273"/>
      <c r="AI26" s="1" t="s">
        <v>106</v>
      </c>
    </row>
    <row r="27" spans="1:38" ht="24.95" customHeight="1">
      <c r="B27" s="44"/>
      <c r="C27" s="263"/>
      <c r="D27" s="263"/>
      <c r="E27" s="292"/>
      <c r="G27" s="638"/>
      <c r="H27" s="638"/>
      <c r="I27" s="638"/>
      <c r="J27" s="638"/>
      <c r="K27" s="44"/>
      <c r="P27" s="44"/>
      <c r="Q27" s="263"/>
      <c r="R27" s="263"/>
      <c r="S27" s="263"/>
      <c r="U27" s="638"/>
      <c r="V27" s="638"/>
      <c r="W27" s="638"/>
      <c r="X27" s="638"/>
      <c r="AI27" s="266"/>
      <c r="AJ27" s="266"/>
      <c r="AK27" s="266"/>
      <c r="AL27" s="266"/>
    </row>
    <row r="28" spans="1:38" ht="24.95" customHeight="1">
      <c r="B28" s="263"/>
      <c r="C28" s="263"/>
      <c r="D28" s="263"/>
      <c r="E28" s="292"/>
      <c r="G28" s="638"/>
      <c r="H28" s="638"/>
      <c r="I28" s="638"/>
      <c r="J28" s="638"/>
      <c r="K28" s="44"/>
      <c r="M28" s="273">
        <f>'PERKOMODITI 2024'!J291</f>
        <v>0</v>
      </c>
      <c r="P28" s="263"/>
      <c r="Q28" s="263"/>
      <c r="R28" s="263"/>
      <c r="S28" s="263"/>
      <c r="U28" s="638"/>
      <c r="V28" s="638"/>
      <c r="W28" s="638"/>
      <c r="X28" s="638"/>
      <c r="AI28" s="48"/>
      <c r="AJ28" s="48"/>
      <c r="AK28" s="48"/>
      <c r="AL28" s="48"/>
    </row>
    <row r="29" spans="1:38" ht="14.25">
      <c r="B29" s="263"/>
      <c r="C29" s="263"/>
      <c r="D29" s="263"/>
      <c r="E29" s="292"/>
      <c r="G29" s="638"/>
      <c r="H29" s="638"/>
      <c r="I29" s="638"/>
      <c r="J29" s="638"/>
      <c r="K29" s="44"/>
      <c r="P29" s="638"/>
      <c r="Q29" s="638"/>
      <c r="R29" s="638"/>
      <c r="S29" s="638"/>
      <c r="U29" s="638"/>
      <c r="V29" s="638"/>
      <c r="W29" s="638"/>
      <c r="X29" s="638"/>
      <c r="AI29" s="637"/>
      <c r="AJ29" s="637"/>
      <c r="AK29" s="637"/>
      <c r="AL29" s="637"/>
    </row>
    <row r="30" spans="1:38" ht="14.25">
      <c r="B30" s="45"/>
      <c r="C30" s="45"/>
      <c r="D30" s="45"/>
      <c r="E30" s="292"/>
      <c r="G30" s="45"/>
      <c r="H30" s="45"/>
      <c r="I30" s="45"/>
      <c r="J30" s="45"/>
      <c r="K30" s="45"/>
      <c r="P30" s="45"/>
      <c r="Q30" s="45"/>
      <c r="R30" s="45"/>
      <c r="S30" s="45"/>
      <c r="U30" s="45"/>
      <c r="V30" s="45"/>
      <c r="W30" s="45"/>
      <c r="X30" s="45"/>
      <c r="AI30" s="637"/>
      <c r="AJ30" s="637"/>
      <c r="AK30" s="637"/>
      <c r="AL30" s="637"/>
    </row>
    <row r="31" spans="1:38" ht="14.25">
      <c r="B31" s="45"/>
      <c r="C31" s="45"/>
      <c r="D31" s="45"/>
      <c r="E31" s="292"/>
      <c r="G31" s="45"/>
      <c r="H31" s="45"/>
      <c r="I31" s="45"/>
      <c r="J31" s="45"/>
      <c r="K31" s="45"/>
      <c r="P31" s="45"/>
      <c r="Q31" s="45"/>
      <c r="R31" s="45"/>
      <c r="S31" s="45"/>
      <c r="U31" s="45"/>
      <c r="V31" s="45"/>
      <c r="W31" s="45"/>
      <c r="X31" s="45"/>
    </row>
    <row r="32" spans="1:38" ht="15">
      <c r="B32" s="265"/>
      <c r="C32" s="265"/>
      <c r="D32" s="265"/>
      <c r="E32" s="292"/>
      <c r="G32" s="653"/>
      <c r="H32" s="653"/>
      <c r="I32" s="653"/>
      <c r="J32" s="653"/>
      <c r="K32" s="46"/>
      <c r="P32" s="265"/>
      <c r="Q32" s="265"/>
      <c r="R32" s="265"/>
      <c r="S32" s="265"/>
      <c r="U32" s="653"/>
      <c r="V32" s="653"/>
      <c r="W32" s="653"/>
      <c r="X32" s="653"/>
    </row>
    <row r="33" spans="2:38" ht="15">
      <c r="B33" s="266"/>
      <c r="C33" s="323"/>
      <c r="D33" s="323"/>
      <c r="E33" s="292"/>
      <c r="G33" s="650"/>
      <c r="H33" s="637"/>
      <c r="I33" s="637"/>
      <c r="J33" s="637"/>
      <c r="K33" s="48"/>
      <c r="P33" s="266"/>
      <c r="Q33" s="323"/>
      <c r="R33" s="323"/>
      <c r="S33" s="323"/>
      <c r="U33" s="650"/>
      <c r="V33" s="637"/>
      <c r="W33" s="637"/>
      <c r="X33" s="637"/>
      <c r="AI33" s="653"/>
      <c r="AJ33" s="653"/>
      <c r="AK33" s="653"/>
      <c r="AL33" s="653"/>
    </row>
    <row r="34" spans="2:38">
      <c r="E34" s="292"/>
      <c r="G34" s="637"/>
      <c r="H34" s="637"/>
      <c r="I34" s="637"/>
      <c r="J34" s="637"/>
      <c r="K34" s="48"/>
      <c r="U34" s="637"/>
      <c r="V34" s="637"/>
      <c r="W34" s="637"/>
      <c r="X34" s="637"/>
      <c r="AI34" s="637"/>
      <c r="AJ34" s="637"/>
      <c r="AK34" s="637"/>
      <c r="AL34" s="637"/>
    </row>
    <row r="35" spans="2:38">
      <c r="E35" s="292"/>
      <c r="G35" s="637"/>
      <c r="H35" s="637"/>
      <c r="I35" s="637"/>
      <c r="J35" s="637"/>
      <c r="K35" s="48"/>
      <c r="U35" s="637"/>
      <c r="V35" s="637"/>
      <c r="W35" s="637"/>
      <c r="X35" s="637"/>
      <c r="AI35" s="637"/>
      <c r="AJ35" s="637"/>
      <c r="AK35" s="637"/>
      <c r="AL35" s="637"/>
    </row>
    <row r="36" spans="2:38">
      <c r="E36" s="292"/>
      <c r="G36" s="48"/>
      <c r="H36" s="48"/>
      <c r="I36" s="48"/>
      <c r="J36" s="48"/>
      <c r="K36" s="48"/>
      <c r="U36" s="48"/>
      <c r="V36" s="48"/>
      <c r="W36" s="48"/>
      <c r="X36" s="48"/>
      <c r="AI36" s="48"/>
      <c r="AJ36" s="48"/>
      <c r="AK36" s="48"/>
      <c r="AL36" s="48"/>
    </row>
    <row r="37" spans="2:38">
      <c r="E37" s="292"/>
      <c r="G37" s="48"/>
      <c r="H37" s="48"/>
      <c r="I37" s="48"/>
      <c r="J37" s="48"/>
      <c r="K37" s="48"/>
      <c r="U37" s="48"/>
      <c r="V37" s="48"/>
      <c r="W37" s="48"/>
      <c r="X37" s="48"/>
      <c r="AI37" s="48"/>
      <c r="AJ37" s="48"/>
      <c r="AK37" s="48"/>
      <c r="AL37" s="48"/>
    </row>
    <row r="38" spans="2:38">
      <c r="G38" s="48"/>
      <c r="H38" s="48"/>
      <c r="I38" s="48"/>
      <c r="J38" s="48"/>
      <c r="K38" s="48"/>
      <c r="U38" s="48"/>
      <c r="V38" s="48"/>
      <c r="W38" s="48"/>
      <c r="X38" s="48"/>
      <c r="AI38" s="48"/>
      <c r="AJ38" s="48"/>
      <c r="AK38" s="48"/>
      <c r="AL38" s="48"/>
    </row>
    <row r="39" spans="2:38">
      <c r="G39" s="48"/>
      <c r="H39" s="48"/>
      <c r="I39" s="48"/>
      <c r="J39" s="48"/>
      <c r="K39" s="48"/>
      <c r="U39" s="48"/>
      <c r="V39" s="48"/>
      <c r="W39" s="48"/>
      <c r="X39" s="48"/>
      <c r="AI39" s="48"/>
      <c r="AJ39" s="48"/>
      <c r="AK39" s="48"/>
      <c r="AL39" s="48"/>
    </row>
    <row r="40" spans="2:38">
      <c r="G40" s="48"/>
      <c r="H40" s="48"/>
      <c r="I40" s="48"/>
      <c r="J40" s="48"/>
      <c r="K40" s="48"/>
      <c r="U40" s="48"/>
      <c r="V40" s="48"/>
      <c r="W40" s="48"/>
      <c r="X40" s="48"/>
      <c r="AI40" s="48"/>
      <c r="AJ40" s="48"/>
      <c r="AK40" s="48"/>
      <c r="AL40" s="48"/>
    </row>
    <row r="41" spans="2:38">
      <c r="G41" s="48"/>
      <c r="H41" s="48"/>
      <c r="I41" s="48"/>
      <c r="J41" s="48"/>
      <c r="K41" s="48"/>
      <c r="U41" s="48"/>
      <c r="V41" s="48"/>
      <c r="W41" s="48"/>
      <c r="X41" s="48"/>
      <c r="AI41" s="48"/>
      <c r="AJ41" s="48"/>
      <c r="AK41" s="48"/>
      <c r="AL41" s="48"/>
    </row>
    <row r="42" spans="2:38">
      <c r="G42" s="48"/>
      <c r="H42" s="48"/>
      <c r="I42" s="48"/>
      <c r="J42" s="48"/>
      <c r="K42" s="48"/>
      <c r="U42" s="48"/>
      <c r="V42" s="48"/>
      <c r="W42" s="48"/>
      <c r="X42" s="48"/>
      <c r="AI42" s="48"/>
      <c r="AJ42" s="48"/>
      <c r="AK42" s="48"/>
      <c r="AL42" s="48"/>
    </row>
    <row r="43" spans="2:38">
      <c r="G43" s="48"/>
      <c r="H43" s="48"/>
      <c r="I43" s="48"/>
      <c r="J43" s="48"/>
      <c r="K43" s="48"/>
      <c r="U43" s="48"/>
      <c r="V43" s="48"/>
      <c r="W43" s="48"/>
      <c r="X43" s="48"/>
      <c r="AI43" s="48"/>
      <c r="AJ43" s="48"/>
      <c r="AK43" s="48"/>
      <c r="AL43" s="48"/>
    </row>
    <row r="44" spans="2:38">
      <c r="G44" s="48"/>
      <c r="H44" s="48"/>
      <c r="I44" s="48"/>
      <c r="J44" s="48"/>
      <c r="K44" s="48"/>
      <c r="U44" s="48"/>
      <c r="V44" s="48"/>
      <c r="W44" s="48"/>
      <c r="X44" s="48"/>
      <c r="AI44" s="48"/>
      <c r="AJ44" s="48"/>
      <c r="AK44" s="48"/>
      <c r="AL44" s="48"/>
    </row>
    <row r="45" spans="2:38">
      <c r="G45" s="48"/>
      <c r="H45" s="48"/>
      <c r="I45" s="48"/>
      <c r="J45" s="48"/>
      <c r="K45" s="48"/>
      <c r="U45" s="48"/>
      <c r="V45" s="48"/>
      <c r="W45" s="48"/>
      <c r="X45" s="48"/>
      <c r="AI45" s="48"/>
      <c r="AJ45" s="48"/>
      <c r="AK45" s="48"/>
      <c r="AL45" s="48"/>
    </row>
    <row r="46" spans="2:38">
      <c r="G46" s="48"/>
      <c r="H46" s="48"/>
      <c r="I46" s="48"/>
      <c r="J46" s="48"/>
      <c r="K46" s="48"/>
      <c r="U46" s="48"/>
      <c r="V46" s="48"/>
      <c r="W46" s="48"/>
      <c r="X46" s="48"/>
      <c r="AI46" s="48"/>
      <c r="AJ46" s="48"/>
      <c r="AK46" s="48"/>
      <c r="AL46" s="48"/>
    </row>
    <row r="47" spans="2:38">
      <c r="G47" s="48"/>
      <c r="H47" s="48"/>
      <c r="I47" s="48"/>
      <c r="J47" s="48"/>
      <c r="K47" s="48"/>
      <c r="U47" s="48"/>
      <c r="V47" s="48"/>
      <c r="W47" s="48"/>
      <c r="X47" s="48"/>
      <c r="AI47" s="48"/>
      <c r="AJ47" s="48"/>
      <c r="AK47" s="48"/>
      <c r="AL47" s="48"/>
    </row>
    <row r="48" spans="2:38" ht="24.95" customHeight="1">
      <c r="G48" s="48"/>
      <c r="H48" s="48"/>
      <c r="I48" s="48"/>
      <c r="J48" s="48"/>
      <c r="K48" s="48"/>
      <c r="U48" s="48"/>
      <c r="V48" s="48"/>
      <c r="W48" s="48"/>
      <c r="X48" s="48"/>
      <c r="AI48" s="48"/>
      <c r="AJ48" s="48"/>
      <c r="AK48" s="48"/>
      <c r="AL48" s="48"/>
    </row>
    <row r="49" spans="1:40" ht="24.95" customHeight="1">
      <c r="A49" s="632" t="s">
        <v>59</v>
      </c>
      <c r="B49" s="632"/>
      <c r="C49" s="632"/>
      <c r="D49" s="632"/>
      <c r="E49" s="632"/>
      <c r="F49" s="632"/>
      <c r="G49" s="632"/>
      <c r="H49" s="632"/>
      <c r="I49" s="632"/>
      <c r="J49" s="632"/>
      <c r="K49" s="296"/>
      <c r="O49" s="632" t="s">
        <v>59</v>
      </c>
      <c r="P49" s="632"/>
      <c r="Q49" s="632"/>
      <c r="R49" s="632"/>
      <c r="S49" s="632"/>
      <c r="T49" s="632"/>
      <c r="U49" s="632"/>
      <c r="V49" s="632"/>
      <c r="W49" s="632"/>
      <c r="X49" s="632"/>
      <c r="AC49" s="663" t="s">
        <v>59</v>
      </c>
      <c r="AD49" s="663"/>
      <c r="AE49" s="663"/>
      <c r="AF49" s="663"/>
      <c r="AG49" s="663"/>
      <c r="AH49" s="663"/>
      <c r="AI49" s="663"/>
      <c r="AJ49" s="663"/>
      <c r="AK49" s="663"/>
      <c r="AL49" s="663"/>
    </row>
    <row r="50" spans="1:40" ht="24.95" customHeight="1">
      <c r="A50" s="632" t="s">
        <v>1</v>
      </c>
      <c r="B50" s="632"/>
      <c r="C50" s="632"/>
      <c r="D50" s="632"/>
      <c r="E50" s="632"/>
      <c r="F50" s="632"/>
      <c r="G50" s="632"/>
      <c r="H50" s="632"/>
      <c r="I50" s="632"/>
      <c r="J50" s="632"/>
      <c r="K50" s="296"/>
      <c r="O50" s="632" t="s">
        <v>1</v>
      </c>
      <c r="P50" s="632"/>
      <c r="Q50" s="632"/>
      <c r="R50" s="632"/>
      <c r="S50" s="632"/>
      <c r="T50" s="632"/>
      <c r="U50" s="632"/>
      <c r="V50" s="632"/>
      <c r="W50" s="632"/>
      <c r="X50" s="632"/>
      <c r="AC50" s="663" t="s">
        <v>1</v>
      </c>
      <c r="AD50" s="663"/>
      <c r="AE50" s="663"/>
      <c r="AF50" s="663"/>
      <c r="AG50" s="663"/>
      <c r="AH50" s="663"/>
      <c r="AI50" s="663"/>
      <c r="AJ50" s="663"/>
      <c r="AK50" s="663"/>
      <c r="AL50" s="663"/>
    </row>
    <row r="51" spans="1:40" ht="24.95" customHeight="1">
      <c r="A51" s="632" t="s">
        <v>206</v>
      </c>
      <c r="B51" s="632"/>
      <c r="C51" s="632"/>
      <c r="D51" s="632"/>
      <c r="E51" s="632"/>
      <c r="F51" s="632"/>
      <c r="G51" s="632"/>
      <c r="H51" s="632"/>
      <c r="I51" s="632"/>
      <c r="J51" s="632"/>
      <c r="K51" s="296"/>
      <c r="L51" s="1"/>
      <c r="M51" s="345"/>
      <c r="O51" s="632" t="s">
        <v>60</v>
      </c>
      <c r="P51" s="632"/>
      <c r="Q51" s="632"/>
      <c r="R51" s="632"/>
      <c r="S51" s="632"/>
      <c r="T51" s="632"/>
      <c r="U51" s="632"/>
      <c r="V51" s="632"/>
      <c r="W51" s="632"/>
      <c r="X51" s="632"/>
      <c r="AC51" s="663" t="s">
        <v>107</v>
      </c>
      <c r="AD51" s="663"/>
      <c r="AE51" s="663"/>
      <c r="AF51" s="663"/>
      <c r="AG51" s="663"/>
      <c r="AH51" s="663"/>
      <c r="AI51" s="663"/>
      <c r="AJ51" s="663"/>
      <c r="AK51" s="663"/>
      <c r="AL51" s="663"/>
    </row>
    <row r="52" spans="1:40" ht="24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40" ht="24.95" customHeight="1">
      <c r="A53" s="2" t="s">
        <v>61</v>
      </c>
      <c r="B53" s="2"/>
      <c r="C53" s="324" t="s">
        <v>78</v>
      </c>
      <c r="D53" s="324"/>
      <c r="E53" s="2"/>
      <c r="F53" s="2"/>
      <c r="G53" s="2"/>
      <c r="H53" s="2"/>
      <c r="I53" s="2"/>
      <c r="J53" s="2"/>
      <c r="K53" s="2"/>
      <c r="O53" s="2" t="s">
        <v>61</v>
      </c>
      <c r="P53" s="2"/>
      <c r="Q53" s="324" t="s">
        <v>78</v>
      </c>
      <c r="R53" s="324"/>
      <c r="S53" s="2"/>
      <c r="T53" s="2"/>
      <c r="U53" s="2"/>
      <c r="V53" s="2"/>
      <c r="W53" s="2"/>
      <c r="X53" s="2"/>
      <c r="AC53" t="s">
        <v>61</v>
      </c>
      <c r="AE53" t="s">
        <v>78</v>
      </c>
    </row>
    <row r="54" spans="1:40" ht="24.95" customHeight="1">
      <c r="A54" s="6"/>
      <c r="B54" s="2"/>
      <c r="C54" s="2"/>
      <c r="D54" s="2"/>
      <c r="E54" s="6"/>
      <c r="F54" s="2"/>
      <c r="G54" s="2"/>
      <c r="H54" s="2"/>
      <c r="I54" s="2"/>
      <c r="J54" s="2"/>
      <c r="K54" s="2"/>
      <c r="O54" s="6"/>
      <c r="P54" s="2"/>
      <c r="Q54" s="2"/>
      <c r="R54" s="2"/>
      <c r="S54" s="6"/>
      <c r="T54" s="2"/>
      <c r="U54" s="2"/>
      <c r="V54" s="2"/>
      <c r="W54" s="2"/>
      <c r="X54" s="2"/>
      <c r="AC54" s="1"/>
      <c r="AG54" s="1"/>
    </row>
    <row r="55" spans="1:40" ht="37.5" customHeight="1">
      <c r="A55" s="297" t="s">
        <v>4</v>
      </c>
      <c r="B55" s="298" t="s">
        <v>63</v>
      </c>
      <c r="C55" s="298" t="s">
        <v>12</v>
      </c>
      <c r="D55" s="298" t="s">
        <v>13</v>
      </c>
      <c r="E55" s="298" t="s">
        <v>14</v>
      </c>
      <c r="F55" s="299" t="s">
        <v>79</v>
      </c>
      <c r="G55" s="299" t="s">
        <v>8</v>
      </c>
      <c r="H55" s="299" t="s">
        <v>9</v>
      </c>
      <c r="I55" s="299" t="s">
        <v>10</v>
      </c>
      <c r="J55" s="330" t="s">
        <v>11</v>
      </c>
      <c r="K55" s="611" t="s">
        <v>102</v>
      </c>
      <c r="O55" s="297" t="s">
        <v>4</v>
      </c>
      <c r="P55" s="298" t="s">
        <v>63</v>
      </c>
      <c r="Q55" s="298" t="s">
        <v>12</v>
      </c>
      <c r="R55" s="298" t="s">
        <v>13</v>
      </c>
      <c r="S55" s="298" t="s">
        <v>14</v>
      </c>
      <c r="T55" s="299" t="s">
        <v>79</v>
      </c>
      <c r="U55" s="299" t="s">
        <v>8</v>
      </c>
      <c r="V55" s="299" t="s">
        <v>9</v>
      </c>
      <c r="W55" s="299" t="s">
        <v>10</v>
      </c>
      <c r="X55" s="330" t="s">
        <v>11</v>
      </c>
      <c r="Z55" s="357" t="s">
        <v>103</v>
      </c>
      <c r="AC55" s="297" t="s">
        <v>4</v>
      </c>
      <c r="AD55" s="298" t="s">
        <v>63</v>
      </c>
      <c r="AE55" s="298" t="s">
        <v>12</v>
      </c>
      <c r="AF55" s="298" t="s">
        <v>13</v>
      </c>
      <c r="AG55" s="298" t="s">
        <v>14</v>
      </c>
      <c r="AH55" s="299" t="s">
        <v>79</v>
      </c>
      <c r="AI55" s="299" t="s">
        <v>8</v>
      </c>
      <c r="AJ55" s="299" t="s">
        <v>9</v>
      </c>
      <c r="AK55" s="299" t="s">
        <v>10</v>
      </c>
      <c r="AL55" s="330" t="s">
        <v>11</v>
      </c>
    </row>
    <row r="56" spans="1:40" ht="24.95" customHeight="1">
      <c r="A56" s="325">
        <v>1</v>
      </c>
      <c r="B56" s="326">
        <v>2</v>
      </c>
      <c r="C56" s="326">
        <v>3</v>
      </c>
      <c r="D56" s="326">
        <v>4</v>
      </c>
      <c r="E56" s="326">
        <v>5</v>
      </c>
      <c r="F56" s="326">
        <v>6</v>
      </c>
      <c r="G56" s="326">
        <v>7</v>
      </c>
      <c r="H56" s="326">
        <v>8</v>
      </c>
      <c r="I56" s="326">
        <v>9</v>
      </c>
      <c r="J56" s="346">
        <v>10</v>
      </c>
      <c r="K56" s="334" t="s">
        <v>12</v>
      </c>
      <c r="L56" s="1" t="s">
        <v>13</v>
      </c>
      <c r="M56" s="1" t="s">
        <v>14</v>
      </c>
      <c r="N56" s="1" t="s">
        <v>65</v>
      </c>
      <c r="O56" s="325">
        <v>1</v>
      </c>
      <c r="P56" s="326">
        <v>2</v>
      </c>
      <c r="Q56" s="326">
        <v>3</v>
      </c>
      <c r="R56" s="326">
        <v>4</v>
      </c>
      <c r="S56" s="326">
        <v>5</v>
      </c>
      <c r="T56" s="326">
        <v>6</v>
      </c>
      <c r="U56" s="326">
        <v>7</v>
      </c>
      <c r="V56" s="326">
        <v>8</v>
      </c>
      <c r="W56" s="326">
        <v>9</v>
      </c>
      <c r="X56" s="346">
        <v>10</v>
      </c>
      <c r="Y56" t="s">
        <v>95</v>
      </c>
      <c r="Z56" t="s">
        <v>94</v>
      </c>
      <c r="AA56" t="s">
        <v>96</v>
      </c>
      <c r="AB56" s="1" t="s">
        <v>97</v>
      </c>
      <c r="AC56" s="325">
        <v>1</v>
      </c>
      <c r="AD56" s="326">
        <v>2</v>
      </c>
      <c r="AE56" s="326">
        <v>3</v>
      </c>
      <c r="AF56" s="326">
        <v>4</v>
      </c>
      <c r="AG56" s="326">
        <v>5</v>
      </c>
      <c r="AH56" s="326">
        <v>6</v>
      </c>
      <c r="AI56" s="326">
        <v>7</v>
      </c>
      <c r="AJ56" s="326">
        <v>8</v>
      </c>
      <c r="AK56" s="326">
        <v>9</v>
      </c>
      <c r="AL56" s="346">
        <v>10</v>
      </c>
      <c r="AM56" t="s">
        <v>97</v>
      </c>
      <c r="AN56" t="s">
        <v>108</v>
      </c>
    </row>
    <row r="57" spans="1:40" ht="24.95" customHeight="1">
      <c r="A57" s="16">
        <v>1</v>
      </c>
      <c r="B57" s="614" t="s">
        <v>66</v>
      </c>
      <c r="C57" s="123">
        <f>750+8+25+7+6+7</f>
        <v>803</v>
      </c>
      <c r="D57" s="123">
        <f>3319+10</f>
        <v>3329</v>
      </c>
      <c r="E57" s="106">
        <f>1136-25</f>
        <v>1111</v>
      </c>
      <c r="F57" s="327">
        <f>E57+D57+C57</f>
        <v>5243</v>
      </c>
      <c r="G57" s="421">
        <f>H57/1000*D57</f>
        <v>11505.023999999999</v>
      </c>
      <c r="H57" s="123">
        <v>3456</v>
      </c>
      <c r="I57" s="123">
        <f>1309+4+3+3+3</f>
        <v>1322</v>
      </c>
      <c r="J57" s="347">
        <f>F57-T57</f>
        <v>31</v>
      </c>
      <c r="K57" s="348">
        <f>C57-Q57</f>
        <v>69</v>
      </c>
      <c r="L57" s="273">
        <f>D57-R57</f>
        <v>0</v>
      </c>
      <c r="M57">
        <f>E57-S57</f>
        <v>-38</v>
      </c>
      <c r="N57" s="278">
        <f>I57-W57</f>
        <v>13</v>
      </c>
      <c r="O57" s="16">
        <v>1</v>
      </c>
      <c r="P57" s="338" t="s">
        <v>66</v>
      </c>
      <c r="Q57" s="123">
        <f>719+5+5+5</f>
        <v>734</v>
      </c>
      <c r="R57" s="123">
        <f>3319+10</f>
        <v>3329</v>
      </c>
      <c r="S57" s="106">
        <f>1154-5</f>
        <v>1149</v>
      </c>
      <c r="T57" s="327">
        <f>S57+R57+Q57</f>
        <v>5212</v>
      </c>
      <c r="U57" s="328">
        <f>V57/1000*R57</f>
        <v>11504.79097</v>
      </c>
      <c r="V57" s="421">
        <v>3455.93</v>
      </c>
      <c r="W57" s="123">
        <f>1307+2</f>
        <v>1309</v>
      </c>
      <c r="X57" s="347">
        <f t="shared" ref="X57:X65" si="23">T57-AH57</f>
        <v>23.5</v>
      </c>
      <c r="Y57" s="273">
        <f t="shared" ref="Y57:Y64" si="24">R57-AF57</f>
        <v>15</v>
      </c>
      <c r="Z57" s="358">
        <f>Q57-AE57</f>
        <v>44</v>
      </c>
      <c r="AA57" s="358">
        <f t="shared" ref="AA57:AA65" si="25">S57-AG57</f>
        <v>-35.5</v>
      </c>
      <c r="AB57" s="358">
        <f>W57-AK57</f>
        <v>8</v>
      </c>
      <c r="AC57" s="16">
        <v>1</v>
      </c>
      <c r="AD57" s="17" t="s">
        <v>66</v>
      </c>
      <c r="AE57" s="123">
        <f>643+10+6+26+5</f>
        <v>690</v>
      </c>
      <c r="AF57" s="123">
        <v>3314</v>
      </c>
      <c r="AG57" s="106">
        <f>1220.5-10-26</f>
        <v>1184.5</v>
      </c>
      <c r="AH57" s="123">
        <f>AG57+AF57+AE57</f>
        <v>5188.5</v>
      </c>
      <c r="AI57" s="328">
        <f>AJ57/1000*AF57</f>
        <v>11453.183999999999</v>
      </c>
      <c r="AJ57" s="123">
        <v>3456</v>
      </c>
      <c r="AK57" s="123">
        <f>1288+5+6+2</f>
        <v>1301</v>
      </c>
      <c r="AL57" s="347"/>
      <c r="AM57" s="273">
        <f t="shared" ref="AM57:AM65" si="26">W57-AK57</f>
        <v>8</v>
      </c>
      <c r="AN57" s="273">
        <f t="shared" ref="AN57:AN65" si="27">T57-AH57</f>
        <v>23.5</v>
      </c>
    </row>
    <row r="58" spans="1:40" ht="24.95" customHeight="1">
      <c r="A58" s="22">
        <v>2</v>
      </c>
      <c r="B58" s="615" t="s">
        <v>67</v>
      </c>
      <c r="C58" s="329">
        <f>616+8-110</f>
        <v>514</v>
      </c>
      <c r="D58" s="123">
        <f>3222+110-8</f>
        <v>3324</v>
      </c>
      <c r="E58" s="106">
        <f>439+8</f>
        <v>447</v>
      </c>
      <c r="F58" s="327">
        <f>E58+D58+C58</f>
        <v>4285</v>
      </c>
      <c r="G58" s="421">
        <f>H58/1000*D58</f>
        <v>11487.744000000001</v>
      </c>
      <c r="H58" s="123">
        <v>3456</v>
      </c>
      <c r="I58" s="123">
        <f>1719+20</f>
        <v>1739</v>
      </c>
      <c r="J58" s="349">
        <f t="shared" ref="J58:J65" si="28">F58-T58</f>
        <v>53</v>
      </c>
      <c r="K58" s="348">
        <f t="shared" ref="K58:K65" si="29">C58-Q58</f>
        <v>3</v>
      </c>
      <c r="L58" s="273">
        <f t="shared" ref="L58:L65" si="30">D58-R58</f>
        <v>102</v>
      </c>
      <c r="M58">
        <f t="shared" ref="M58:M65" si="31">E58-S58</f>
        <v>-52</v>
      </c>
      <c r="N58" s="278">
        <f t="shared" ref="N58:N65" si="32">I58-W58</f>
        <v>20</v>
      </c>
      <c r="O58" s="22">
        <v>2</v>
      </c>
      <c r="P58" s="339" t="s">
        <v>67</v>
      </c>
      <c r="Q58" s="329">
        <f>500+111-100</f>
        <v>511</v>
      </c>
      <c r="R58" s="123">
        <f>3122+100</f>
        <v>3222</v>
      </c>
      <c r="S58" s="106">
        <v>499</v>
      </c>
      <c r="T58" s="327">
        <f t="shared" ref="T58:T65" si="33">S58+R58+Q58</f>
        <v>4232</v>
      </c>
      <c r="U58" s="328">
        <f t="shared" ref="U58:U65" si="34">V58/1000*R58</f>
        <v>11135.006460000001</v>
      </c>
      <c r="V58" s="421">
        <v>3455.93</v>
      </c>
      <c r="W58" s="123">
        <f>1681+38</f>
        <v>1719</v>
      </c>
      <c r="X58" s="347">
        <f t="shared" si="23"/>
        <v>298.30000000000018</v>
      </c>
      <c r="Y58" s="273">
        <f t="shared" si="24"/>
        <v>286.40000000000009</v>
      </c>
      <c r="Z58" s="358">
        <f>Q58-AE58</f>
        <v>-46.5</v>
      </c>
      <c r="AA58" s="358">
        <f t="shared" si="25"/>
        <v>58.399999999999977</v>
      </c>
      <c r="AB58" s="358">
        <f t="shared" ref="AB58:AB65" si="35">W58-AK58</f>
        <v>105</v>
      </c>
      <c r="AC58" s="22">
        <v>2</v>
      </c>
      <c r="AD58" s="23" t="s">
        <v>67</v>
      </c>
      <c r="AE58" s="329">
        <f>495.5+81+1-20</f>
        <v>557.5</v>
      </c>
      <c r="AF58" s="123">
        <f>2927.6-12+20</f>
        <v>2935.6</v>
      </c>
      <c r="AG58" s="106">
        <f>521.6-81+12-12</f>
        <v>440.6</v>
      </c>
      <c r="AH58" s="123">
        <f>AG58+AF58+AE58</f>
        <v>3933.7</v>
      </c>
      <c r="AI58" s="328">
        <f>AJ58/1000*AF58</f>
        <v>10145.4336</v>
      </c>
      <c r="AJ58" s="123">
        <v>3456</v>
      </c>
      <c r="AK58" s="123">
        <f>1618-4</f>
        <v>1614</v>
      </c>
      <c r="AL58" s="347"/>
      <c r="AM58" s="273">
        <f t="shared" si="26"/>
        <v>105</v>
      </c>
      <c r="AN58" s="273">
        <f t="shared" si="27"/>
        <v>298.30000000000018</v>
      </c>
    </row>
    <row r="59" spans="1:40" ht="24.95" customHeight="1">
      <c r="A59" s="26">
        <v>3</v>
      </c>
      <c r="B59" s="610" t="s">
        <v>68</v>
      </c>
      <c r="C59" s="123">
        <f>1056+24-20</f>
        <v>1060</v>
      </c>
      <c r="D59" s="123">
        <f>1494+20</f>
        <v>1514</v>
      </c>
      <c r="E59" s="106">
        <f>269-7</f>
        <v>262</v>
      </c>
      <c r="F59" s="327">
        <f>E59+D59+C59</f>
        <v>2836</v>
      </c>
      <c r="G59" s="421">
        <f>H59/1000*D59</f>
        <v>5232.384</v>
      </c>
      <c r="H59" s="123">
        <v>3456</v>
      </c>
      <c r="I59" s="123">
        <f>729+5</f>
        <v>734</v>
      </c>
      <c r="J59" s="347">
        <f t="shared" si="28"/>
        <v>27</v>
      </c>
      <c r="K59" s="348">
        <f t="shared" si="29"/>
        <v>7</v>
      </c>
      <c r="L59" s="273">
        <f t="shared" si="30"/>
        <v>20</v>
      </c>
      <c r="M59">
        <f t="shared" si="31"/>
        <v>0</v>
      </c>
      <c r="N59" s="278">
        <f t="shared" si="32"/>
        <v>5</v>
      </c>
      <c r="O59" s="26">
        <v>3</v>
      </c>
      <c r="P59" s="340" t="s">
        <v>68</v>
      </c>
      <c r="Q59" s="123">
        <f>1048+5</f>
        <v>1053</v>
      </c>
      <c r="R59" s="123">
        <f>1479+15</f>
        <v>1494</v>
      </c>
      <c r="S59" s="106">
        <f>269-7</f>
        <v>262</v>
      </c>
      <c r="T59" s="327">
        <f t="shared" si="33"/>
        <v>2809</v>
      </c>
      <c r="U59" s="328">
        <f t="shared" si="34"/>
        <v>5163.15942</v>
      </c>
      <c r="V59" s="421">
        <v>3455.93</v>
      </c>
      <c r="W59" s="123">
        <f>727+2</f>
        <v>729</v>
      </c>
      <c r="X59" s="347">
        <f t="shared" si="23"/>
        <v>18</v>
      </c>
      <c r="Y59" s="273">
        <f t="shared" si="24"/>
        <v>15</v>
      </c>
      <c r="Z59" s="358">
        <f t="shared" ref="Z59:Z65" si="36">Q59-AE59</f>
        <v>10</v>
      </c>
      <c r="AA59" s="358">
        <f t="shared" si="25"/>
        <v>-7</v>
      </c>
      <c r="AB59" s="358">
        <f t="shared" si="35"/>
        <v>8</v>
      </c>
      <c r="AC59" s="26">
        <v>3</v>
      </c>
      <c r="AD59" s="27" t="s">
        <v>68</v>
      </c>
      <c r="AE59" s="123">
        <f>936+57+100-50</f>
        <v>1043</v>
      </c>
      <c r="AF59" s="123">
        <f>1429+50</f>
        <v>1479</v>
      </c>
      <c r="AG59" s="106">
        <f>426-57-100</f>
        <v>269</v>
      </c>
      <c r="AH59" s="123">
        <f>AG59+AF59+AE59</f>
        <v>2791</v>
      </c>
      <c r="AI59" s="328">
        <f>AJ59/1000*AF59</f>
        <v>5111.424</v>
      </c>
      <c r="AJ59" s="123">
        <v>3456</v>
      </c>
      <c r="AK59" s="123">
        <f>721</f>
        <v>721</v>
      </c>
      <c r="AL59" s="347"/>
      <c r="AM59" s="273">
        <f t="shared" si="26"/>
        <v>8</v>
      </c>
      <c r="AN59" s="273">
        <f t="shared" si="27"/>
        <v>18</v>
      </c>
    </row>
    <row r="60" spans="1:40" ht="24.95" customHeight="1">
      <c r="A60" s="26">
        <v>4</v>
      </c>
      <c r="B60" s="610" t="s">
        <v>69</v>
      </c>
      <c r="C60" s="328">
        <f>1596+4+2</f>
        <v>1602</v>
      </c>
      <c r="D60" s="123">
        <f>2813-13</f>
        <v>2800</v>
      </c>
      <c r="E60" s="328">
        <f>159.5+13</f>
        <v>172.5</v>
      </c>
      <c r="F60" s="327">
        <f>E60+D60+C60</f>
        <v>4574.5</v>
      </c>
      <c r="G60" s="421">
        <f>H60/1000*D60</f>
        <v>9676.7999999999993</v>
      </c>
      <c r="H60" s="123">
        <v>3456</v>
      </c>
      <c r="I60" s="123">
        <f>1465+3+1</f>
        <v>1469</v>
      </c>
      <c r="J60" s="347">
        <f t="shared" si="28"/>
        <v>6</v>
      </c>
      <c r="K60" s="348">
        <f t="shared" si="29"/>
        <v>6</v>
      </c>
      <c r="L60" s="273">
        <f t="shared" si="30"/>
        <v>0</v>
      </c>
      <c r="M60">
        <f t="shared" si="31"/>
        <v>0</v>
      </c>
      <c r="N60" s="278">
        <f t="shared" si="32"/>
        <v>4</v>
      </c>
      <c r="O60" s="26">
        <v>4</v>
      </c>
      <c r="P60" s="340" t="s">
        <v>69</v>
      </c>
      <c r="Q60" s="328">
        <f>1591+4+1</f>
        <v>1596</v>
      </c>
      <c r="R60" s="123">
        <f>2813-13</f>
        <v>2800</v>
      </c>
      <c r="S60" s="328">
        <f>159.5+13</f>
        <v>172.5</v>
      </c>
      <c r="T60" s="327">
        <f t="shared" si="33"/>
        <v>4568.5</v>
      </c>
      <c r="U60" s="328">
        <f t="shared" si="34"/>
        <v>9676.6039999999994</v>
      </c>
      <c r="V60" s="421">
        <v>3455.93</v>
      </c>
      <c r="W60" s="123">
        <f>1463+2</f>
        <v>1465</v>
      </c>
      <c r="X60" s="356">
        <f t="shared" si="23"/>
        <v>310.5</v>
      </c>
      <c r="Y60" s="273">
        <f t="shared" si="24"/>
        <v>89</v>
      </c>
      <c r="Z60" s="358">
        <f t="shared" si="36"/>
        <v>149.5</v>
      </c>
      <c r="AA60" s="358">
        <f t="shared" si="25"/>
        <v>72</v>
      </c>
      <c r="AB60" s="358">
        <f t="shared" si="35"/>
        <v>100</v>
      </c>
      <c r="AC60" s="26">
        <v>4</v>
      </c>
      <c r="AD60" s="27" t="s">
        <v>69</v>
      </c>
      <c r="AE60" s="123">
        <f>1438.5+1+1+1+45-40</f>
        <v>1446.5</v>
      </c>
      <c r="AF60" s="123">
        <f>2671+40</f>
        <v>2711</v>
      </c>
      <c r="AG60" s="123">
        <f>145.5-45</f>
        <v>100.5</v>
      </c>
      <c r="AH60" s="123">
        <f>AG60+AF60+AE60</f>
        <v>4258</v>
      </c>
      <c r="AI60" s="123">
        <f>AJ60/1000*AF60</f>
        <v>9369.2160000000003</v>
      </c>
      <c r="AJ60" s="123">
        <v>3456</v>
      </c>
      <c r="AK60" s="123">
        <f>1357+8</f>
        <v>1365</v>
      </c>
      <c r="AL60" s="356"/>
      <c r="AM60" s="273">
        <f t="shared" si="26"/>
        <v>100</v>
      </c>
      <c r="AN60" s="273">
        <f t="shared" si="27"/>
        <v>310.5</v>
      </c>
    </row>
    <row r="61" spans="1:40" ht="24.95" customHeight="1">
      <c r="A61" s="26">
        <v>5</v>
      </c>
      <c r="B61" s="610" t="s">
        <v>70</v>
      </c>
      <c r="C61" s="328">
        <f>579+10+50+5+3+2</f>
        <v>649</v>
      </c>
      <c r="D61" s="123">
        <f>8971+100+30</f>
        <v>9101</v>
      </c>
      <c r="E61" s="106">
        <f>834-50</f>
        <v>784</v>
      </c>
      <c r="F61" s="327">
        <f>E61+D61+C61</f>
        <v>10534</v>
      </c>
      <c r="G61" s="421">
        <f>H61/1000*D61</f>
        <v>31453.056</v>
      </c>
      <c r="H61" s="123">
        <v>3456</v>
      </c>
      <c r="I61" s="123">
        <f>3335+5+1+6+2</f>
        <v>3349</v>
      </c>
      <c r="J61" s="350">
        <f t="shared" si="28"/>
        <v>71</v>
      </c>
      <c r="K61" s="348">
        <f t="shared" si="29"/>
        <v>91</v>
      </c>
      <c r="L61" s="273">
        <f t="shared" si="30"/>
        <v>30</v>
      </c>
      <c r="M61">
        <f t="shared" si="31"/>
        <v>-50</v>
      </c>
      <c r="N61" s="273">
        <f t="shared" si="32"/>
        <v>14</v>
      </c>
      <c r="O61" s="26">
        <v>5</v>
      </c>
      <c r="P61" s="340" t="s">
        <v>70</v>
      </c>
      <c r="Q61" s="328">
        <f>575+14+25+15+5+12+3+2+3+4-100</f>
        <v>558</v>
      </c>
      <c r="R61" s="123">
        <f>8971+100</f>
        <v>9071</v>
      </c>
      <c r="S61" s="106">
        <f>694+140</f>
        <v>834</v>
      </c>
      <c r="T61" s="327">
        <f t="shared" si="33"/>
        <v>10463</v>
      </c>
      <c r="U61" s="328">
        <f t="shared" si="34"/>
        <v>31348.741030000001</v>
      </c>
      <c r="V61" s="421">
        <v>3455.93</v>
      </c>
      <c r="W61" s="123">
        <f>3298+37</f>
        <v>3335</v>
      </c>
      <c r="X61" s="347">
        <f t="shared" si="23"/>
        <v>133</v>
      </c>
      <c r="Y61" s="273">
        <f t="shared" si="24"/>
        <v>190</v>
      </c>
      <c r="Z61" s="358">
        <f t="shared" si="36"/>
        <v>-196.5</v>
      </c>
      <c r="AA61" s="358">
        <f t="shared" si="25"/>
        <v>139.5</v>
      </c>
      <c r="AB61" s="358">
        <f t="shared" si="35"/>
        <v>53</v>
      </c>
      <c r="AC61" s="26">
        <v>5</v>
      </c>
      <c r="AD61" s="27" t="s">
        <v>70</v>
      </c>
      <c r="AE61" s="123">
        <f>734.5+10+90-80</f>
        <v>754.5</v>
      </c>
      <c r="AF61" s="123">
        <f>8801+80</f>
        <v>8881</v>
      </c>
      <c r="AG61" s="106">
        <f>784.5-90</f>
        <v>694.5</v>
      </c>
      <c r="AH61" s="123">
        <f>AG61+AF61+AE61</f>
        <v>10330</v>
      </c>
      <c r="AI61" s="328">
        <f>AJ61/1000*AF61</f>
        <v>30692.736000000001</v>
      </c>
      <c r="AJ61" s="123">
        <v>3456</v>
      </c>
      <c r="AK61" s="123">
        <f>3277+5</f>
        <v>3282</v>
      </c>
      <c r="AL61" s="347"/>
      <c r="AM61" s="273">
        <f t="shared" si="26"/>
        <v>53</v>
      </c>
      <c r="AN61" s="273">
        <f t="shared" si="27"/>
        <v>133</v>
      </c>
    </row>
    <row r="62" spans="1:40" ht="24.95" customHeight="1">
      <c r="A62" s="26">
        <v>6</v>
      </c>
      <c r="B62" s="609" t="s">
        <v>71</v>
      </c>
      <c r="C62" s="123">
        <f>927+12-16</f>
        <v>923</v>
      </c>
      <c r="D62" s="123">
        <f>2246+16-16</f>
        <v>2246</v>
      </c>
      <c r="E62" s="106">
        <f>5+16-12</f>
        <v>9</v>
      </c>
      <c r="F62" s="327">
        <f t="shared" ref="F62:F65" si="37">E62+D62+C62</f>
        <v>3178</v>
      </c>
      <c r="G62" s="421">
        <f t="shared" ref="G62:G65" si="38">H62/1000*D62</f>
        <v>7762.1759999999995</v>
      </c>
      <c r="H62" s="123">
        <v>3456</v>
      </c>
      <c r="I62" s="123">
        <f>809+2+1</f>
        <v>812</v>
      </c>
      <c r="J62" s="347">
        <f t="shared" si="28"/>
        <v>4</v>
      </c>
      <c r="K62" s="348">
        <f t="shared" si="29"/>
        <v>0</v>
      </c>
      <c r="L62" s="273">
        <f t="shared" si="30"/>
        <v>0</v>
      </c>
      <c r="M62">
        <f t="shared" si="31"/>
        <v>4</v>
      </c>
      <c r="N62" s="278">
        <f t="shared" si="32"/>
        <v>3</v>
      </c>
      <c r="O62" s="26">
        <v>6</v>
      </c>
      <c r="P62" s="341" t="s">
        <v>71</v>
      </c>
      <c r="Q62" s="123">
        <f>911+12</f>
        <v>923</v>
      </c>
      <c r="R62" s="123">
        <f>2252-6</f>
        <v>2246</v>
      </c>
      <c r="S62" s="106">
        <f>11+6-12</f>
        <v>5</v>
      </c>
      <c r="T62" s="327">
        <f t="shared" si="33"/>
        <v>3174</v>
      </c>
      <c r="U62" s="328">
        <f t="shared" si="34"/>
        <v>7762.0187800000003</v>
      </c>
      <c r="V62" s="421">
        <v>3455.93</v>
      </c>
      <c r="W62" s="123">
        <f>809</f>
        <v>809</v>
      </c>
      <c r="X62" s="347">
        <f t="shared" si="23"/>
        <v>6</v>
      </c>
      <c r="Y62" s="273">
        <f t="shared" si="24"/>
        <v>-49</v>
      </c>
      <c r="Z62" s="358">
        <f t="shared" si="36"/>
        <v>108</v>
      </c>
      <c r="AA62" s="358">
        <f t="shared" si="25"/>
        <v>-53</v>
      </c>
      <c r="AB62" s="358">
        <f t="shared" si="35"/>
        <v>2</v>
      </c>
      <c r="AC62" s="26">
        <v>6</v>
      </c>
      <c r="AD62" s="32" t="s">
        <v>71</v>
      </c>
      <c r="AE62" s="123">
        <f>822+5-6-4+4-6</f>
        <v>815</v>
      </c>
      <c r="AF62" s="123">
        <f>2283+6+6</f>
        <v>2295</v>
      </c>
      <c r="AG62" s="106">
        <f>54+4</f>
        <v>58</v>
      </c>
      <c r="AH62" s="123">
        <f t="shared" ref="AH62:AH65" si="39">AG62+AF62+AE62</f>
        <v>3168</v>
      </c>
      <c r="AI62" s="328">
        <f t="shared" ref="AI62:AI65" si="40">AJ62/1000*AF62</f>
        <v>7931.5199999999995</v>
      </c>
      <c r="AJ62" s="123">
        <v>3456</v>
      </c>
      <c r="AK62" s="123">
        <f>800+5+2</f>
        <v>807</v>
      </c>
      <c r="AL62" s="347"/>
      <c r="AM62" s="273">
        <f t="shared" si="26"/>
        <v>2</v>
      </c>
      <c r="AN62" s="273">
        <f t="shared" si="27"/>
        <v>6</v>
      </c>
    </row>
    <row r="63" spans="1:40" ht="24.95" customHeight="1">
      <c r="A63" s="26">
        <v>7</v>
      </c>
      <c r="B63" s="610" t="s">
        <v>72</v>
      </c>
      <c r="C63" s="123">
        <f>549+2+2</f>
        <v>553</v>
      </c>
      <c r="D63" s="123">
        <f>719</f>
        <v>719</v>
      </c>
      <c r="E63" s="106">
        <f>10.5-2</f>
        <v>8.5</v>
      </c>
      <c r="F63" s="327">
        <f t="shared" si="37"/>
        <v>1280.5</v>
      </c>
      <c r="G63" s="421">
        <f t="shared" si="38"/>
        <v>2484.864</v>
      </c>
      <c r="H63" s="123">
        <v>3456</v>
      </c>
      <c r="I63" s="123">
        <f>809+4</f>
        <v>813</v>
      </c>
      <c r="J63" s="347">
        <f t="shared" si="28"/>
        <v>2</v>
      </c>
      <c r="K63" s="348">
        <f t="shared" si="29"/>
        <v>4</v>
      </c>
      <c r="L63" s="273">
        <f t="shared" si="30"/>
        <v>0</v>
      </c>
      <c r="M63">
        <f t="shared" si="31"/>
        <v>-2</v>
      </c>
      <c r="N63" s="273">
        <f t="shared" si="32"/>
        <v>0</v>
      </c>
      <c r="O63" s="26">
        <v>7</v>
      </c>
      <c r="P63" s="310" t="s">
        <v>72</v>
      </c>
      <c r="Q63" s="123">
        <f>540+4+5</f>
        <v>549</v>
      </c>
      <c r="R63" s="123">
        <f>714+5</f>
        <v>719</v>
      </c>
      <c r="S63" s="106">
        <f>17.5-8+7-6</f>
        <v>10.5</v>
      </c>
      <c r="T63" s="327">
        <f t="shared" si="33"/>
        <v>1278.5</v>
      </c>
      <c r="U63" s="328">
        <f t="shared" si="34"/>
        <v>2484.81367</v>
      </c>
      <c r="V63" s="421">
        <v>3455.93</v>
      </c>
      <c r="W63" s="123">
        <f>809+4</f>
        <v>813</v>
      </c>
      <c r="X63" s="347">
        <f t="shared" si="23"/>
        <v>21.5</v>
      </c>
      <c r="Y63" s="273">
        <f t="shared" si="24"/>
        <v>5.5</v>
      </c>
      <c r="Z63" s="358">
        <f t="shared" si="36"/>
        <v>16</v>
      </c>
      <c r="AA63" s="358">
        <f t="shared" si="25"/>
        <v>0</v>
      </c>
      <c r="AB63" s="358">
        <f t="shared" si="35"/>
        <v>9</v>
      </c>
      <c r="AC63" s="26">
        <v>7</v>
      </c>
      <c r="AD63" s="27" t="s">
        <v>72</v>
      </c>
      <c r="AE63" s="123">
        <f>534-7+6</f>
        <v>533</v>
      </c>
      <c r="AF63" s="123">
        <v>713.5</v>
      </c>
      <c r="AG63" s="106">
        <f>17.5-8+7-6</f>
        <v>10.5</v>
      </c>
      <c r="AH63" s="123">
        <f t="shared" si="39"/>
        <v>1257</v>
      </c>
      <c r="AI63" s="328">
        <f t="shared" si="40"/>
        <v>2465.8559999999998</v>
      </c>
      <c r="AJ63" s="123">
        <v>3456</v>
      </c>
      <c r="AK63" s="123">
        <v>804</v>
      </c>
      <c r="AL63" s="347"/>
      <c r="AM63" s="273">
        <f t="shared" si="26"/>
        <v>9</v>
      </c>
      <c r="AN63" s="273">
        <f t="shared" si="27"/>
        <v>21.5</v>
      </c>
    </row>
    <row r="64" spans="1:40" ht="24.95" customHeight="1">
      <c r="A64" s="26">
        <v>8</v>
      </c>
      <c r="B64" s="610" t="s">
        <v>73</v>
      </c>
      <c r="C64" s="123">
        <f>736+4</f>
        <v>740</v>
      </c>
      <c r="D64" s="123">
        <f>431+50</f>
        <v>481</v>
      </c>
      <c r="E64" s="106">
        <f>243-4</f>
        <v>239</v>
      </c>
      <c r="F64" s="327">
        <f t="shared" si="37"/>
        <v>1460</v>
      </c>
      <c r="G64" s="421">
        <f t="shared" si="38"/>
        <v>1662.336</v>
      </c>
      <c r="H64" s="123">
        <v>3456</v>
      </c>
      <c r="I64" s="123">
        <f>994+4</f>
        <v>998</v>
      </c>
      <c r="J64" s="349">
        <f t="shared" si="28"/>
        <v>0</v>
      </c>
      <c r="K64" s="624">
        <f t="shared" si="29"/>
        <v>4</v>
      </c>
      <c r="L64" s="273">
        <f t="shared" si="30"/>
        <v>0</v>
      </c>
      <c r="M64">
        <f t="shared" si="31"/>
        <v>-4</v>
      </c>
      <c r="N64" s="273">
        <f t="shared" si="32"/>
        <v>0</v>
      </c>
      <c r="O64" s="26">
        <v>8</v>
      </c>
      <c r="P64" s="340" t="s">
        <v>73</v>
      </c>
      <c r="Q64" s="123">
        <f>686+50</f>
        <v>736</v>
      </c>
      <c r="R64" s="123">
        <f>431+50</f>
        <v>481</v>
      </c>
      <c r="S64" s="106">
        <f>293-50</f>
        <v>243</v>
      </c>
      <c r="T64" s="327">
        <f t="shared" si="33"/>
        <v>1460</v>
      </c>
      <c r="U64" s="328">
        <f>V64/1000*R64</f>
        <v>1662.30233</v>
      </c>
      <c r="V64" s="421">
        <v>3455.93</v>
      </c>
      <c r="W64" s="123">
        <f>994+4</f>
        <v>998</v>
      </c>
      <c r="X64" s="347">
        <f t="shared" si="23"/>
        <v>0</v>
      </c>
      <c r="Y64" s="273">
        <f t="shared" si="24"/>
        <v>-139</v>
      </c>
      <c r="Z64" s="358">
        <f t="shared" si="36"/>
        <v>50</v>
      </c>
      <c r="AA64" s="358">
        <f t="shared" si="25"/>
        <v>89</v>
      </c>
      <c r="AB64" s="358">
        <f t="shared" si="35"/>
        <v>0</v>
      </c>
      <c r="AC64" s="26">
        <v>8</v>
      </c>
      <c r="AD64" s="27" t="s">
        <v>73</v>
      </c>
      <c r="AE64" s="123">
        <f>582+104</f>
        <v>686</v>
      </c>
      <c r="AF64" s="123">
        <v>620</v>
      </c>
      <c r="AG64" s="106">
        <f>258-104</f>
        <v>154</v>
      </c>
      <c r="AH64" s="123">
        <f t="shared" si="39"/>
        <v>1460</v>
      </c>
      <c r="AI64" s="328">
        <f t="shared" si="40"/>
        <v>2142.7199999999998</v>
      </c>
      <c r="AJ64" s="123">
        <v>3456</v>
      </c>
      <c r="AK64" s="123">
        <f>994+4</f>
        <v>998</v>
      </c>
      <c r="AL64" s="347"/>
      <c r="AM64" s="273">
        <f t="shared" si="26"/>
        <v>0</v>
      </c>
      <c r="AN64" s="273">
        <f t="shared" si="27"/>
        <v>0</v>
      </c>
    </row>
    <row r="65" spans="1:40" ht="24.95" customHeight="1">
      <c r="A65" s="26">
        <v>9</v>
      </c>
      <c r="B65" s="610" t="s">
        <v>74</v>
      </c>
      <c r="C65" s="123">
        <f>13+1</f>
        <v>14</v>
      </c>
      <c r="D65" s="123">
        <f>12</f>
        <v>12</v>
      </c>
      <c r="E65" s="106">
        <f>51-1</f>
        <v>50</v>
      </c>
      <c r="F65" s="327">
        <f t="shared" si="37"/>
        <v>76</v>
      </c>
      <c r="G65" s="421">
        <f t="shared" si="38"/>
        <v>41.472000000000001</v>
      </c>
      <c r="H65" s="123">
        <v>3456</v>
      </c>
      <c r="I65" s="123">
        <v>76</v>
      </c>
      <c r="J65" s="347">
        <f t="shared" si="28"/>
        <v>0</v>
      </c>
      <c r="K65" s="348">
        <f t="shared" si="29"/>
        <v>1</v>
      </c>
      <c r="L65" s="273">
        <f t="shared" si="30"/>
        <v>0</v>
      </c>
      <c r="M65">
        <f t="shared" si="31"/>
        <v>-1</v>
      </c>
      <c r="N65" s="273">
        <f t="shared" si="32"/>
        <v>0</v>
      </c>
      <c r="O65" s="26">
        <v>9</v>
      </c>
      <c r="P65" s="310" t="s">
        <v>74</v>
      </c>
      <c r="Q65" s="123">
        <f>11+2</f>
        <v>13</v>
      </c>
      <c r="R65" s="123">
        <f>12</f>
        <v>12</v>
      </c>
      <c r="S65" s="106">
        <f>53-2</f>
        <v>51</v>
      </c>
      <c r="T65" s="327">
        <f t="shared" si="33"/>
        <v>76</v>
      </c>
      <c r="U65" s="328">
        <f t="shared" si="34"/>
        <v>41.471159999999998</v>
      </c>
      <c r="V65" s="421">
        <v>3455.93</v>
      </c>
      <c r="W65" s="123">
        <v>76</v>
      </c>
      <c r="X65" s="347">
        <f t="shared" si="23"/>
        <v>0</v>
      </c>
      <c r="Z65" s="358">
        <f t="shared" si="36"/>
        <v>2</v>
      </c>
      <c r="AA65" s="358">
        <f t="shared" si="25"/>
        <v>-2</v>
      </c>
      <c r="AB65" s="358">
        <f t="shared" si="35"/>
        <v>0</v>
      </c>
      <c r="AC65" s="26">
        <v>9</v>
      </c>
      <c r="AD65" s="27" t="s">
        <v>74</v>
      </c>
      <c r="AE65" s="123">
        <f>31-20</f>
        <v>11</v>
      </c>
      <c r="AF65" s="123">
        <f>12</f>
        <v>12</v>
      </c>
      <c r="AG65" s="106">
        <f>33+20</f>
        <v>53</v>
      </c>
      <c r="AH65" s="123">
        <f t="shared" si="39"/>
        <v>76</v>
      </c>
      <c r="AI65" s="123">
        <f t="shared" si="40"/>
        <v>41.472000000000001</v>
      </c>
      <c r="AJ65" s="123">
        <v>3456</v>
      </c>
      <c r="AK65" s="123">
        <v>76</v>
      </c>
      <c r="AL65" s="356"/>
      <c r="AM65" s="273">
        <f t="shared" si="26"/>
        <v>0</v>
      </c>
      <c r="AN65" s="273">
        <f t="shared" si="27"/>
        <v>0</v>
      </c>
    </row>
    <row r="66" spans="1:40" ht="24.95" customHeight="1">
      <c r="A66" s="26">
        <v>10</v>
      </c>
      <c r="B66" s="310" t="s">
        <v>75</v>
      </c>
      <c r="C66" s="123" t="s">
        <v>20</v>
      </c>
      <c r="D66" s="123" t="s">
        <v>20</v>
      </c>
      <c r="E66" s="106" t="s">
        <v>20</v>
      </c>
      <c r="F66" s="327" t="s">
        <v>20</v>
      </c>
      <c r="G66" s="421" t="s">
        <v>20</v>
      </c>
      <c r="H66" s="123" t="s">
        <v>20</v>
      </c>
      <c r="I66" s="123" t="s">
        <v>20</v>
      </c>
      <c r="J66" s="347"/>
      <c r="K66" s="348"/>
      <c r="L66" s="273"/>
      <c r="N66" s="273"/>
      <c r="O66" s="26">
        <v>10</v>
      </c>
      <c r="P66" s="310" t="s">
        <v>75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  <c r="X66" s="347"/>
      <c r="Z66" s="358"/>
      <c r="AA66" s="358"/>
      <c r="AB66" s="358"/>
      <c r="AC66" s="26">
        <v>10</v>
      </c>
      <c r="AD66" s="27" t="s">
        <v>75</v>
      </c>
      <c r="AE66" s="123" t="s">
        <v>20</v>
      </c>
      <c r="AF66" s="123" t="s">
        <v>20</v>
      </c>
      <c r="AG66" s="106" t="s">
        <v>20</v>
      </c>
      <c r="AH66" s="123" t="s">
        <v>20</v>
      </c>
      <c r="AI66" s="328" t="s">
        <v>20</v>
      </c>
      <c r="AJ66" s="123" t="s">
        <v>20</v>
      </c>
      <c r="AK66" s="123" t="s">
        <v>20</v>
      </c>
      <c r="AL66" s="347"/>
    </row>
    <row r="67" spans="1:40" ht="24.95" customHeight="1">
      <c r="A67" s="26">
        <v>11</v>
      </c>
      <c r="B67" s="368" t="s">
        <v>76</v>
      </c>
      <c r="C67" s="123" t="s">
        <v>20</v>
      </c>
      <c r="D67" s="123" t="s">
        <v>20</v>
      </c>
      <c r="E67" s="106" t="s">
        <v>20</v>
      </c>
      <c r="F67" s="327" t="s">
        <v>20</v>
      </c>
      <c r="G67" s="421" t="s">
        <v>20</v>
      </c>
      <c r="H67" s="123" t="s">
        <v>20</v>
      </c>
      <c r="I67" s="123" t="s">
        <v>20</v>
      </c>
      <c r="J67" s="347"/>
      <c r="K67" s="348"/>
      <c r="L67" s="273"/>
      <c r="N67" s="273"/>
      <c r="O67" s="26">
        <v>11</v>
      </c>
      <c r="P67" s="35" t="s">
        <v>76</v>
      </c>
      <c r="Q67" s="123">
        <v>0</v>
      </c>
      <c r="R67" s="123">
        <v>0</v>
      </c>
      <c r="S67" s="123">
        <v>0</v>
      </c>
      <c r="T67" s="123">
        <v>0</v>
      </c>
      <c r="U67" s="123">
        <v>0</v>
      </c>
      <c r="V67" s="123">
        <v>0</v>
      </c>
      <c r="W67" s="123">
        <v>0</v>
      </c>
      <c r="X67" s="347"/>
      <c r="Z67" s="358"/>
      <c r="AA67" s="358"/>
      <c r="AB67" s="358"/>
      <c r="AC67" s="26">
        <v>11</v>
      </c>
      <c r="AD67" s="35" t="s">
        <v>76</v>
      </c>
      <c r="AE67" s="123" t="s">
        <v>20</v>
      </c>
      <c r="AF67" s="123" t="s">
        <v>20</v>
      </c>
      <c r="AG67" s="106" t="s">
        <v>20</v>
      </c>
      <c r="AH67" s="123" t="s">
        <v>20</v>
      </c>
      <c r="AI67" s="328" t="s">
        <v>20</v>
      </c>
      <c r="AJ67" s="123" t="s">
        <v>20</v>
      </c>
      <c r="AK67" s="123" t="s">
        <v>20</v>
      </c>
      <c r="AL67" s="347"/>
    </row>
    <row r="68" spans="1:40" ht="24.95" customHeight="1">
      <c r="A68" s="664" t="s">
        <v>77</v>
      </c>
      <c r="B68" s="665"/>
      <c r="C68" s="369">
        <f>SUM(C57:C67)</f>
        <v>6858</v>
      </c>
      <c r="D68" s="370">
        <f>SUM(D57:D67)</f>
        <v>23526</v>
      </c>
      <c r="E68" s="370">
        <f>SUM(E57:E67)</f>
        <v>3083</v>
      </c>
      <c r="F68" s="370">
        <f>SUM(F57:F67)</f>
        <v>33467</v>
      </c>
      <c r="G68" s="441">
        <f t="shared" ref="G68" si="41">H68/1000*D68</f>
        <v>81305.856</v>
      </c>
      <c r="H68" s="317">
        <v>3456</v>
      </c>
      <c r="I68" s="317">
        <f>SUM(I57:I67)</f>
        <v>11312</v>
      </c>
      <c r="J68" s="377">
        <f>SUM(J57:J65)</f>
        <v>194</v>
      </c>
      <c r="K68" s="348">
        <f>SUM(K57:K65)</f>
        <v>185</v>
      </c>
      <c r="L68" s="348">
        <f t="shared" ref="L68:N68" si="42">SUM(L57:L65)</f>
        <v>152</v>
      </c>
      <c r="M68" s="348">
        <f t="shared" si="42"/>
        <v>-143</v>
      </c>
      <c r="N68" s="348">
        <f t="shared" si="42"/>
        <v>59</v>
      </c>
      <c r="O68" s="664" t="s">
        <v>77</v>
      </c>
      <c r="P68" s="665"/>
      <c r="Q68" s="369">
        <f>SUM(Q57:Q67)</f>
        <v>6673</v>
      </c>
      <c r="R68" s="370">
        <f>SUM(R57:R67)</f>
        <v>23374</v>
      </c>
      <c r="S68" s="370">
        <f>SUM(S57:S67)</f>
        <v>3226</v>
      </c>
      <c r="T68" s="317">
        <f>SUM(T57:T67)</f>
        <v>33273</v>
      </c>
      <c r="U68" s="317">
        <f>V68/1000*R68</f>
        <v>80778.907819999993</v>
      </c>
      <c r="V68" s="441">
        <f>3455.93</f>
        <v>3455.93</v>
      </c>
      <c r="W68" s="317">
        <f>SUM(W57:W67)</f>
        <v>11253</v>
      </c>
      <c r="X68" s="377">
        <f>SUM(X57:X65)</f>
        <v>810.80000000000018</v>
      </c>
      <c r="Y68" s="273">
        <f>SUM(Y57:Y65)</f>
        <v>412.90000000000009</v>
      </c>
      <c r="Z68" s="358">
        <f>SUM(Z57:Z65)</f>
        <v>136.5</v>
      </c>
      <c r="AA68" s="358">
        <f>SUM(AA57:AA65)</f>
        <v>261.39999999999998</v>
      </c>
      <c r="AB68" s="358">
        <f>SUM(AB57:AB65)</f>
        <v>285</v>
      </c>
      <c r="AC68" s="664" t="s">
        <v>77</v>
      </c>
      <c r="AD68" s="665"/>
      <c r="AE68" s="384">
        <f>SUM(AE57:AE67)</f>
        <v>6536.5</v>
      </c>
      <c r="AF68" s="317">
        <f>SUM(AF57:AF67)</f>
        <v>22961.1</v>
      </c>
      <c r="AG68" s="317">
        <f>SUM(AG57:AG67)</f>
        <v>2964.6</v>
      </c>
      <c r="AH68" s="317">
        <f>SUM(AH57:AH67)</f>
        <v>32462.2</v>
      </c>
      <c r="AI68" s="371">
        <f t="shared" ref="AI68" si="43">AJ68/1000*AF68</f>
        <v>79353.561600000001</v>
      </c>
      <c r="AJ68" s="317">
        <v>3456</v>
      </c>
      <c r="AK68" s="317">
        <f>SUM(AK57:AK67)</f>
        <v>10968</v>
      </c>
      <c r="AL68" s="377"/>
      <c r="AN68" s="273">
        <f>SUM(AN57:AN65)</f>
        <v>810.80000000000018</v>
      </c>
    </row>
    <row r="69" spans="1:40" ht="24.95" customHeight="1">
      <c r="C69" s="563">
        <f>C68-Q68</f>
        <v>185</v>
      </c>
      <c r="D69" s="563">
        <f t="shared" ref="D69:I69" si="44">D68-R68</f>
        <v>152</v>
      </c>
      <c r="E69" s="563">
        <f t="shared" si="44"/>
        <v>-143</v>
      </c>
      <c r="F69" s="563">
        <f t="shared" si="44"/>
        <v>194</v>
      </c>
      <c r="G69" s="563">
        <f t="shared" si="44"/>
        <v>526.94818000000669</v>
      </c>
      <c r="H69" s="563">
        <f t="shared" si="44"/>
        <v>7.0000000000163709E-2</v>
      </c>
      <c r="I69" s="563">
        <f t="shared" si="44"/>
        <v>59</v>
      </c>
      <c r="J69" s="563"/>
      <c r="K69" s="372"/>
      <c r="Q69" s="372">
        <f t="shared" ref="Q69:X69" si="45">Q68-AE68</f>
        <v>136.5</v>
      </c>
      <c r="R69" s="372">
        <f t="shared" si="45"/>
        <v>412.90000000000146</v>
      </c>
      <c r="S69" s="372">
        <f t="shared" si="45"/>
        <v>261.40000000000009</v>
      </c>
      <c r="T69" s="372">
        <f t="shared" si="45"/>
        <v>810.79999999999927</v>
      </c>
      <c r="U69" s="372">
        <f t="shared" si="45"/>
        <v>1425.3462199999922</v>
      </c>
      <c r="V69" s="372">
        <f t="shared" si="45"/>
        <v>-7.0000000000163709E-2</v>
      </c>
      <c r="W69" s="372">
        <f t="shared" si="45"/>
        <v>285</v>
      </c>
      <c r="X69" s="372">
        <f t="shared" si="45"/>
        <v>810.80000000000018</v>
      </c>
      <c r="AI69" s="345"/>
      <c r="AK69" s="273"/>
    </row>
    <row r="70" spans="1:40" ht="24.95" customHeight="1">
      <c r="C70" s="273"/>
      <c r="D70" s="273"/>
      <c r="E70" s="273"/>
      <c r="F70" s="273"/>
      <c r="G70" s="273"/>
      <c r="H70" s="273"/>
      <c r="I70" s="273"/>
      <c r="J70" s="273"/>
      <c r="K70" s="273"/>
      <c r="Q70" s="273"/>
      <c r="R70" s="273"/>
      <c r="S70" s="273"/>
      <c r="T70" s="273"/>
      <c r="U70" s="273"/>
      <c r="V70" s="273"/>
      <c r="W70" s="273"/>
      <c r="X70" s="273"/>
      <c r="AI70" s="345"/>
      <c r="AK70" s="273"/>
    </row>
    <row r="71" spans="1:40" ht="24.95" customHeight="1">
      <c r="B71" s="6" t="s">
        <v>12</v>
      </c>
      <c r="C71" s="320" t="s">
        <v>33</v>
      </c>
      <c r="E71" s="373"/>
      <c r="F71" s="273"/>
      <c r="G71" s="1"/>
      <c r="K71" s="292">
        <f>G57-U57</f>
        <v>0.23302999999941676</v>
      </c>
      <c r="L71" s="561">
        <v>11505.02</v>
      </c>
      <c r="P71" s="6" t="s">
        <v>12</v>
      </c>
      <c r="Q71" s="320" t="s">
        <v>33</v>
      </c>
      <c r="S71" s="373"/>
      <c r="T71" s="273"/>
      <c r="U71" s="1"/>
      <c r="Z71" s="273"/>
      <c r="AA71" s="273"/>
      <c r="AB71" s="273"/>
      <c r="AE71" s="367"/>
      <c r="AF71" s="367"/>
      <c r="AG71" s="373"/>
      <c r="AH71" s="273"/>
      <c r="AI71" s="1" t="s">
        <v>104</v>
      </c>
    </row>
    <row r="72" spans="1:40" ht="24.95" customHeight="1">
      <c r="B72" s="6" t="s">
        <v>13</v>
      </c>
      <c r="C72" s="320" t="s">
        <v>34</v>
      </c>
      <c r="F72" s="273">
        <f>C68+D68+E68</f>
        <v>33467</v>
      </c>
      <c r="G72" s="650"/>
      <c r="H72" s="637"/>
      <c r="I72" s="637"/>
      <c r="J72" s="637"/>
      <c r="K72" s="292">
        <f t="shared" ref="K72:K79" si="46">G58-U58</f>
        <v>352.73754000000008</v>
      </c>
      <c r="L72" s="562">
        <v>11135.23</v>
      </c>
      <c r="P72" s="6" t="s">
        <v>13</v>
      </c>
      <c r="Q72" s="320" t="s">
        <v>34</v>
      </c>
      <c r="T72" s="273">
        <f>Q68+R68+S68</f>
        <v>33273</v>
      </c>
      <c r="U72" s="650"/>
      <c r="V72" s="637"/>
      <c r="W72" s="637"/>
      <c r="X72" s="637"/>
      <c r="AI72" s="266" t="s">
        <v>105</v>
      </c>
      <c r="AJ72" s="323"/>
      <c r="AK72" s="323"/>
      <c r="AL72" s="323"/>
    </row>
    <row r="73" spans="1:40" ht="24.95" customHeight="1">
      <c r="B73" s="6" t="s">
        <v>14</v>
      </c>
      <c r="C73" s="320" t="s">
        <v>35</v>
      </c>
      <c r="G73" s="1"/>
      <c r="K73" s="292">
        <f t="shared" si="46"/>
        <v>69.22458000000006</v>
      </c>
      <c r="L73" s="562">
        <v>5163.26</v>
      </c>
      <c r="P73" s="6" t="s">
        <v>14</v>
      </c>
      <c r="Q73" s="320" t="s">
        <v>35</v>
      </c>
      <c r="U73" s="1"/>
      <c r="AI73" s="1" t="s">
        <v>106</v>
      </c>
    </row>
    <row r="74" spans="1:40" ht="24.95" customHeight="1">
      <c r="B74" s="2"/>
      <c r="C74" s="2"/>
      <c r="F74" s="273"/>
      <c r="G74" s="650"/>
      <c r="H74" s="650"/>
      <c r="I74" s="650"/>
      <c r="J74" s="650"/>
      <c r="K74" s="292">
        <f t="shared" si="46"/>
        <v>0.19599999999991269</v>
      </c>
      <c r="L74" s="562">
        <v>9676.7999999999993</v>
      </c>
      <c r="P74" s="2"/>
      <c r="Q74" s="2"/>
      <c r="T74" s="273"/>
      <c r="U74" s="650"/>
      <c r="V74" s="650"/>
      <c r="W74" s="650"/>
      <c r="X74" s="650"/>
      <c r="AI74" s="650"/>
      <c r="AJ74" s="650"/>
      <c r="AK74" s="650"/>
      <c r="AL74" s="650"/>
    </row>
    <row r="75" spans="1:40" ht="24.95" customHeight="1">
      <c r="G75" s="48"/>
      <c r="H75" s="48"/>
      <c r="I75" s="48"/>
      <c r="J75" s="48"/>
      <c r="K75" s="292">
        <f t="shared" si="46"/>
        <v>104.31496999999945</v>
      </c>
      <c r="L75" s="562">
        <v>31453.06</v>
      </c>
      <c r="U75" s="48"/>
      <c r="V75" s="48"/>
      <c r="W75" s="48"/>
      <c r="X75" s="48"/>
      <c r="AI75" s="48"/>
      <c r="AJ75" s="48"/>
      <c r="AK75" s="48"/>
      <c r="AL75" s="48"/>
    </row>
    <row r="76" spans="1:40" ht="24.95" customHeight="1">
      <c r="G76" s="637"/>
      <c r="H76" s="637"/>
      <c r="I76" s="637"/>
      <c r="J76" s="637"/>
      <c r="K76" s="292">
        <f t="shared" si="46"/>
        <v>0.1572199999991426</v>
      </c>
      <c r="L76" s="562">
        <v>7762.18</v>
      </c>
      <c r="U76" s="637"/>
      <c r="V76" s="637"/>
      <c r="W76" s="637"/>
      <c r="X76" s="637"/>
      <c r="AI76" s="637"/>
      <c r="AJ76" s="637"/>
      <c r="AK76" s="637"/>
      <c r="AL76" s="637"/>
    </row>
    <row r="77" spans="1:40" ht="24.95" customHeight="1">
      <c r="G77" s="637"/>
      <c r="H77" s="637"/>
      <c r="I77" s="637"/>
      <c r="J77" s="637"/>
      <c r="K77" s="292">
        <f t="shared" si="46"/>
        <v>5.033000000003085E-2</v>
      </c>
      <c r="L77" s="562">
        <v>2483.14</v>
      </c>
      <c r="U77" s="637"/>
      <c r="V77" s="637"/>
      <c r="W77" s="637"/>
      <c r="X77" s="637"/>
      <c r="AI77" s="637"/>
      <c r="AJ77" s="637"/>
      <c r="AK77" s="637"/>
      <c r="AL77" s="637"/>
    </row>
    <row r="78" spans="1:40" ht="24.95" customHeight="1">
      <c r="K78" s="292">
        <f t="shared" si="46"/>
        <v>3.3670000000029177E-2</v>
      </c>
      <c r="L78" s="562">
        <v>1662.34</v>
      </c>
    </row>
    <row r="79" spans="1:40" ht="24.95" customHeight="1">
      <c r="K79" s="292">
        <f t="shared" si="46"/>
        <v>8.4000000000372665E-4</v>
      </c>
      <c r="L79" s="562">
        <v>41.47</v>
      </c>
    </row>
    <row r="80" spans="1:40" ht="24.95" customHeight="1">
      <c r="G80" s="653"/>
      <c r="H80" s="653"/>
      <c r="I80" s="653"/>
      <c r="J80" s="653"/>
      <c r="K80" s="46"/>
      <c r="U80" s="653"/>
      <c r="V80" s="653"/>
      <c r="W80" s="653"/>
      <c r="X80" s="653"/>
      <c r="AI80" s="653"/>
      <c r="AJ80" s="653"/>
      <c r="AK80" s="653"/>
      <c r="AL80" s="653"/>
    </row>
    <row r="81" spans="1:38" ht="24.95" customHeight="1">
      <c r="G81" s="637"/>
      <c r="H81" s="637"/>
      <c r="I81" s="637"/>
      <c r="J81" s="637"/>
      <c r="K81" s="48"/>
      <c r="U81" s="637"/>
      <c r="V81" s="637"/>
      <c r="W81" s="637"/>
      <c r="X81" s="637"/>
      <c r="AI81" s="637"/>
      <c r="AJ81" s="637"/>
      <c r="AK81" s="637"/>
      <c r="AL81" s="637"/>
    </row>
    <row r="82" spans="1:38" ht="24.95" customHeight="1">
      <c r="G82" s="637"/>
      <c r="H82" s="637"/>
      <c r="I82" s="637"/>
      <c r="J82" s="637"/>
      <c r="K82" s="48"/>
      <c r="U82" s="637"/>
      <c r="V82" s="637"/>
      <c r="W82" s="637"/>
      <c r="X82" s="637"/>
      <c r="AI82" s="637"/>
      <c r="AJ82" s="637"/>
      <c r="AK82" s="637"/>
      <c r="AL82" s="637"/>
    </row>
    <row r="83" spans="1:38" ht="24.95" customHeight="1">
      <c r="G83" s="48"/>
      <c r="H83" s="48"/>
      <c r="I83" s="48"/>
      <c r="J83" s="48"/>
      <c r="K83" s="48"/>
      <c r="U83" s="48"/>
      <c r="V83" s="48"/>
      <c r="W83" s="48"/>
      <c r="X83" s="48"/>
      <c r="AI83" s="48"/>
      <c r="AJ83" s="48"/>
      <c r="AK83" s="48"/>
      <c r="AL83" s="48"/>
    </row>
    <row r="84" spans="1:38" ht="24.95" customHeight="1">
      <c r="G84" s="48"/>
      <c r="H84" s="48"/>
      <c r="I84" s="48"/>
      <c r="J84" s="48"/>
      <c r="K84" s="48"/>
      <c r="U84" s="48"/>
      <c r="V84" s="48"/>
      <c r="W84" s="48"/>
      <c r="X84" s="48"/>
      <c r="AI84" s="48"/>
      <c r="AJ84" s="48"/>
      <c r="AK84" s="48"/>
      <c r="AL84" s="48"/>
    </row>
    <row r="85" spans="1:38" ht="24.95" customHeight="1">
      <c r="G85" s="48"/>
      <c r="H85" s="48"/>
      <c r="I85" s="48"/>
      <c r="J85" s="48"/>
      <c r="K85" s="48"/>
      <c r="U85" s="48"/>
      <c r="V85" s="48"/>
      <c r="W85" s="48"/>
      <c r="X85" s="48"/>
      <c r="AI85" s="48"/>
      <c r="AJ85" s="48"/>
      <c r="AK85" s="48"/>
      <c r="AL85" s="48"/>
    </row>
    <row r="86" spans="1:38" ht="24.95" customHeight="1">
      <c r="G86" s="48"/>
      <c r="H86" s="48"/>
      <c r="I86" s="48"/>
      <c r="J86" s="48"/>
      <c r="K86" s="48"/>
      <c r="U86" s="48"/>
      <c r="V86" s="48"/>
      <c r="W86" s="48"/>
      <c r="X86" s="48"/>
      <c r="AI86" s="48"/>
      <c r="AJ86" s="48"/>
      <c r="AK86" s="48"/>
      <c r="AL86" s="48"/>
    </row>
    <row r="87" spans="1:38" ht="24.95" customHeight="1">
      <c r="A87" s="632" t="s">
        <v>59</v>
      </c>
      <c r="B87" s="632"/>
      <c r="C87" s="632"/>
      <c r="D87" s="632"/>
      <c r="E87" s="632"/>
      <c r="F87" s="632"/>
      <c r="G87" s="632"/>
      <c r="H87" s="632"/>
      <c r="I87" s="632"/>
      <c r="J87" s="632"/>
      <c r="K87" s="296"/>
      <c r="O87" s="632" t="s">
        <v>59</v>
      </c>
      <c r="P87" s="632"/>
      <c r="Q87" s="632"/>
      <c r="R87" s="632"/>
      <c r="S87" s="632"/>
      <c r="T87" s="632"/>
      <c r="U87" s="632"/>
      <c r="V87" s="632"/>
      <c r="W87" s="632"/>
      <c r="X87" s="632"/>
      <c r="AC87" s="663" t="s">
        <v>59</v>
      </c>
      <c r="AD87" s="663"/>
      <c r="AE87" s="663"/>
      <c r="AF87" s="663"/>
      <c r="AG87" s="663"/>
      <c r="AH87" s="663"/>
      <c r="AI87" s="663"/>
      <c r="AJ87" s="663"/>
      <c r="AK87" s="663"/>
      <c r="AL87" s="663"/>
    </row>
    <row r="88" spans="1:38" ht="24.95" customHeight="1">
      <c r="A88" s="632" t="s">
        <v>1</v>
      </c>
      <c r="B88" s="632"/>
      <c r="C88" s="632"/>
      <c r="D88" s="632"/>
      <c r="E88" s="632"/>
      <c r="F88" s="632"/>
      <c r="G88" s="632"/>
      <c r="H88" s="632"/>
      <c r="I88" s="632"/>
      <c r="J88" s="632"/>
      <c r="K88" s="296"/>
      <c r="O88" s="632" t="s">
        <v>1</v>
      </c>
      <c r="P88" s="632"/>
      <c r="Q88" s="632"/>
      <c r="R88" s="632"/>
      <c r="S88" s="632"/>
      <c r="T88" s="632"/>
      <c r="U88" s="632"/>
      <c r="V88" s="632"/>
      <c r="W88" s="632"/>
      <c r="X88" s="632"/>
      <c r="AC88" s="663" t="s">
        <v>1</v>
      </c>
      <c r="AD88" s="663"/>
      <c r="AE88" s="663"/>
      <c r="AF88" s="663"/>
      <c r="AG88" s="663"/>
      <c r="AH88" s="663"/>
      <c r="AI88" s="663"/>
      <c r="AJ88" s="663"/>
      <c r="AK88" s="663"/>
      <c r="AL88" s="663"/>
    </row>
    <row r="89" spans="1:38" ht="24.95" customHeight="1">
      <c r="A89" s="632" t="s">
        <v>206</v>
      </c>
      <c r="B89" s="632"/>
      <c r="C89" s="632"/>
      <c r="D89" s="632"/>
      <c r="E89" s="632"/>
      <c r="F89" s="632"/>
      <c r="G89" s="632"/>
      <c r="H89" s="632"/>
      <c r="I89" s="632"/>
      <c r="J89" s="632"/>
      <c r="K89" s="296"/>
      <c r="O89" s="632" t="s">
        <v>60</v>
      </c>
      <c r="P89" s="632"/>
      <c r="Q89" s="632"/>
      <c r="R89" s="632"/>
      <c r="S89" s="632"/>
      <c r="T89" s="632"/>
      <c r="U89" s="632"/>
      <c r="V89" s="632"/>
      <c r="W89" s="632"/>
      <c r="X89" s="632"/>
      <c r="AC89" s="663" t="s">
        <v>107</v>
      </c>
      <c r="AD89" s="663"/>
      <c r="AE89" s="663"/>
      <c r="AF89" s="663"/>
      <c r="AG89" s="663"/>
      <c r="AH89" s="663"/>
      <c r="AI89" s="663"/>
      <c r="AJ89" s="663"/>
      <c r="AK89" s="663"/>
      <c r="AL89" s="663"/>
    </row>
    <row r="90" spans="1:38" ht="24.95" customHeight="1">
      <c r="A90" s="296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AC90" s="82"/>
      <c r="AD90" s="82"/>
      <c r="AE90" s="82"/>
      <c r="AF90" s="82"/>
      <c r="AG90" s="82"/>
      <c r="AH90" s="82"/>
      <c r="AI90" s="82"/>
      <c r="AJ90" s="82"/>
      <c r="AK90" s="82"/>
      <c r="AL90" s="82"/>
    </row>
    <row r="91" spans="1:38" ht="24.95" customHeight="1">
      <c r="A91" s="2" t="s">
        <v>61</v>
      </c>
      <c r="B91" s="2"/>
      <c r="C91" s="324" t="s">
        <v>80</v>
      </c>
      <c r="D91" s="2"/>
      <c r="E91" s="2"/>
      <c r="F91" s="2"/>
      <c r="G91" s="2"/>
      <c r="H91" s="2"/>
      <c r="I91" s="2"/>
      <c r="J91" s="2"/>
      <c r="K91" s="2"/>
      <c r="O91" s="2" t="s">
        <v>61</v>
      </c>
      <c r="P91" s="2"/>
      <c r="Q91" s="324" t="s">
        <v>80</v>
      </c>
      <c r="R91" s="2"/>
      <c r="S91" s="2"/>
      <c r="T91" s="2"/>
      <c r="U91" s="2"/>
      <c r="V91" s="2"/>
      <c r="W91" s="2"/>
      <c r="X91" s="2"/>
      <c r="AC91" t="s">
        <v>61</v>
      </c>
      <c r="AE91" t="s">
        <v>80</v>
      </c>
    </row>
    <row r="92" spans="1:38" ht="24.95" customHeight="1">
      <c r="A92" s="1"/>
      <c r="E92" s="1"/>
      <c r="O92" s="1"/>
      <c r="S92" s="1"/>
      <c r="AC92" s="1"/>
      <c r="AE92" t="s">
        <v>109</v>
      </c>
      <c r="AG92" s="1"/>
    </row>
    <row r="93" spans="1:38" ht="24.95" customHeight="1">
      <c r="A93" s="297" t="s">
        <v>4</v>
      </c>
      <c r="B93" s="298" t="s">
        <v>63</v>
      </c>
      <c r="C93" s="298" t="s">
        <v>12</v>
      </c>
      <c r="D93" s="298" t="s">
        <v>13</v>
      </c>
      <c r="E93" s="298" t="s">
        <v>14</v>
      </c>
      <c r="F93" s="299" t="s">
        <v>81</v>
      </c>
      <c r="G93" s="299" t="s">
        <v>8</v>
      </c>
      <c r="H93" s="299" t="s">
        <v>9</v>
      </c>
      <c r="I93" s="299" t="s">
        <v>10</v>
      </c>
      <c r="J93" s="330" t="s">
        <v>11</v>
      </c>
      <c r="K93" s="378" t="s">
        <v>102</v>
      </c>
      <c r="O93" s="297" t="s">
        <v>4</v>
      </c>
      <c r="P93" s="298" t="s">
        <v>63</v>
      </c>
      <c r="Q93" s="298" t="s">
        <v>12</v>
      </c>
      <c r="R93" s="298" t="s">
        <v>13</v>
      </c>
      <c r="S93" s="298" t="s">
        <v>14</v>
      </c>
      <c r="T93" s="299" t="s">
        <v>81</v>
      </c>
      <c r="U93" s="299" t="s">
        <v>8</v>
      </c>
      <c r="V93" s="299" t="s">
        <v>9</v>
      </c>
      <c r="W93" s="299" t="s">
        <v>10</v>
      </c>
      <c r="X93" s="330" t="s">
        <v>11</v>
      </c>
      <c r="Z93" s="357" t="s">
        <v>103</v>
      </c>
      <c r="AC93" s="297" t="s">
        <v>4</v>
      </c>
      <c r="AD93" s="298" t="s">
        <v>63</v>
      </c>
      <c r="AE93" s="298" t="s">
        <v>12</v>
      </c>
      <c r="AF93" s="298" t="s">
        <v>13</v>
      </c>
      <c r="AG93" s="298" t="s">
        <v>14</v>
      </c>
      <c r="AH93" s="299" t="s">
        <v>81</v>
      </c>
      <c r="AI93" s="299" t="s">
        <v>8</v>
      </c>
      <c r="AJ93" s="299" t="s">
        <v>9</v>
      </c>
      <c r="AK93" s="299" t="s">
        <v>10</v>
      </c>
      <c r="AL93" s="330" t="s">
        <v>11</v>
      </c>
    </row>
    <row r="94" spans="1:38" ht="24.95" customHeight="1">
      <c r="A94" s="300">
        <v>1</v>
      </c>
      <c r="B94" s="301">
        <v>2</v>
      </c>
      <c r="C94" s="301">
        <v>3</v>
      </c>
      <c r="D94" s="301">
        <v>4</v>
      </c>
      <c r="E94" s="301">
        <v>5</v>
      </c>
      <c r="F94" s="301">
        <v>6</v>
      </c>
      <c r="G94" s="301">
        <v>7</v>
      </c>
      <c r="H94" s="301">
        <v>8</v>
      </c>
      <c r="I94" s="301">
        <v>9</v>
      </c>
      <c r="J94" s="333">
        <v>10</v>
      </c>
      <c r="K94" s="334" t="s">
        <v>12</v>
      </c>
      <c r="L94" s="1" t="s">
        <v>13</v>
      </c>
      <c r="M94" s="1" t="s">
        <v>14</v>
      </c>
      <c r="N94" s="1" t="s">
        <v>65</v>
      </c>
      <c r="O94" s="300">
        <v>1</v>
      </c>
      <c r="P94" s="301">
        <v>2</v>
      </c>
      <c r="Q94" s="301">
        <v>3</v>
      </c>
      <c r="R94" s="301">
        <v>4</v>
      </c>
      <c r="S94" s="301">
        <v>5</v>
      </c>
      <c r="T94" s="301">
        <v>6</v>
      </c>
      <c r="U94" s="301">
        <v>7</v>
      </c>
      <c r="V94" s="301">
        <v>8</v>
      </c>
      <c r="W94" s="301">
        <v>9</v>
      </c>
      <c r="X94" s="333">
        <v>10</v>
      </c>
      <c r="Y94" t="s">
        <v>94</v>
      </c>
      <c r="Z94" t="s">
        <v>95</v>
      </c>
      <c r="AA94" t="s">
        <v>96</v>
      </c>
      <c r="AB94" s="1" t="s">
        <v>65</v>
      </c>
      <c r="AC94" s="300">
        <v>1</v>
      </c>
      <c r="AD94" s="301">
        <v>2</v>
      </c>
      <c r="AE94" s="301">
        <v>3</v>
      </c>
      <c r="AF94" s="301">
        <v>4</v>
      </c>
      <c r="AG94" s="301">
        <v>5</v>
      </c>
      <c r="AH94" s="301">
        <v>6</v>
      </c>
      <c r="AI94" s="301">
        <v>7</v>
      </c>
      <c r="AJ94" s="301">
        <v>8</v>
      </c>
      <c r="AK94" s="301">
        <v>9</v>
      </c>
      <c r="AL94" s="333">
        <v>10</v>
      </c>
    </row>
    <row r="95" spans="1:38" ht="24.95" customHeight="1">
      <c r="A95" s="134">
        <v>1</v>
      </c>
      <c r="B95" s="614" t="s">
        <v>82</v>
      </c>
      <c r="C95" s="123">
        <v>3</v>
      </c>
      <c r="D95" s="123">
        <f>22-6</f>
        <v>16</v>
      </c>
      <c r="E95" s="123">
        <f>96-6</f>
        <v>90</v>
      </c>
      <c r="F95" s="123">
        <f t="shared" ref="F95:F102" si="47">E95+D95+C95</f>
        <v>109</v>
      </c>
      <c r="G95" s="421">
        <f>H95/1000*D95</f>
        <v>13.888</v>
      </c>
      <c r="H95" s="123">
        <v>868</v>
      </c>
      <c r="I95" s="123">
        <f>214-3</f>
        <v>211</v>
      </c>
      <c r="J95" s="379">
        <f>F95-T95</f>
        <v>-9</v>
      </c>
      <c r="K95" s="380">
        <f>C95-Q95</f>
        <v>0</v>
      </c>
      <c r="L95" s="273">
        <f>D95-R95</f>
        <v>0</v>
      </c>
      <c r="M95" s="273">
        <f>E95-S95</f>
        <v>-9</v>
      </c>
      <c r="N95" s="273">
        <f>I95-W95</f>
        <v>-3</v>
      </c>
      <c r="O95" s="134">
        <v>1</v>
      </c>
      <c r="P95" s="338" t="s">
        <v>82</v>
      </c>
      <c r="Q95" s="123">
        <v>3</v>
      </c>
      <c r="R95" s="123">
        <f>22-6</f>
        <v>16</v>
      </c>
      <c r="S95" s="123">
        <f>93+6</f>
        <v>99</v>
      </c>
      <c r="T95" s="421">
        <f t="shared" ref="T95:T100" si="48">S95+R95+Q95</f>
        <v>118</v>
      </c>
      <c r="U95" s="421">
        <f>V95/1000*R95</f>
        <v>13.888</v>
      </c>
      <c r="V95" s="123">
        <v>868</v>
      </c>
      <c r="W95" s="123">
        <f>215-1</f>
        <v>214</v>
      </c>
      <c r="X95" s="379">
        <f>T95-AH95</f>
        <v>-3</v>
      </c>
      <c r="Y95" s="273">
        <f>Q95-AE95</f>
        <v>0</v>
      </c>
      <c r="Z95" s="273">
        <f>R95-AF95</f>
        <v>-9</v>
      </c>
      <c r="AA95" s="273">
        <f>S95-AG95</f>
        <v>6</v>
      </c>
      <c r="AB95" s="273">
        <f>W95-AK95</f>
        <v>-6</v>
      </c>
      <c r="AC95" s="134">
        <v>1</v>
      </c>
      <c r="AD95" s="17" t="s">
        <v>82</v>
      </c>
      <c r="AE95" s="123">
        <v>3</v>
      </c>
      <c r="AF95" s="123">
        <v>25</v>
      </c>
      <c r="AG95" s="123">
        <v>93</v>
      </c>
      <c r="AH95" s="123">
        <f t="shared" ref="AH95:AH100" si="49">AG95+AF95+AE95</f>
        <v>121</v>
      </c>
      <c r="AI95" s="328">
        <f>AJ95/1000*AF95</f>
        <v>21.7</v>
      </c>
      <c r="AJ95" s="123">
        <v>868</v>
      </c>
      <c r="AK95" s="123">
        <v>220</v>
      </c>
      <c r="AL95" s="387"/>
    </row>
    <row r="96" spans="1:38" ht="24.95" customHeight="1">
      <c r="A96" s="374">
        <v>2</v>
      </c>
      <c r="B96" s="375" t="s">
        <v>67</v>
      </c>
      <c r="C96" s="123">
        <v>1</v>
      </c>
      <c r="D96" s="123">
        <f>7-3</f>
        <v>4</v>
      </c>
      <c r="E96" s="106">
        <f>0+3-2</f>
        <v>1</v>
      </c>
      <c r="F96" s="123">
        <f t="shared" si="47"/>
        <v>6</v>
      </c>
      <c r="G96" s="564">
        <f>H96/1000*D96</f>
        <v>3.472</v>
      </c>
      <c r="H96" s="123">
        <v>868</v>
      </c>
      <c r="I96" s="123">
        <f>66-1</f>
        <v>65</v>
      </c>
      <c r="J96" s="379">
        <f t="shared" ref="J96:J104" si="50">F96-T96</f>
        <v>0</v>
      </c>
      <c r="K96" s="380">
        <f t="shared" ref="K96:K104" si="51">C96-Q96</f>
        <v>0</v>
      </c>
      <c r="L96" s="273">
        <f t="shared" ref="L96:L100" si="52">D96-R96</f>
        <v>0</v>
      </c>
      <c r="M96" s="273">
        <f t="shared" ref="M96:N104" si="53">E96-S96</f>
        <v>0</v>
      </c>
      <c r="N96" s="273">
        <f t="shared" ref="N96:N103" si="54">I96-W96</f>
        <v>0</v>
      </c>
      <c r="O96" s="374">
        <v>2</v>
      </c>
      <c r="P96" s="339" t="s">
        <v>67</v>
      </c>
      <c r="Q96" s="123">
        <v>1</v>
      </c>
      <c r="R96" s="123">
        <f>7-3</f>
        <v>4</v>
      </c>
      <c r="S96" s="106">
        <f>0+3-2</f>
        <v>1</v>
      </c>
      <c r="T96" s="421">
        <f t="shared" si="48"/>
        <v>6</v>
      </c>
      <c r="U96" s="421">
        <f>V96/1000*R96</f>
        <v>3.472</v>
      </c>
      <c r="V96" s="123">
        <v>868</v>
      </c>
      <c r="W96" s="123">
        <f>66-1</f>
        <v>65</v>
      </c>
      <c r="X96" s="381"/>
      <c r="AC96" s="374">
        <v>2</v>
      </c>
      <c r="AD96" s="23" t="s">
        <v>67</v>
      </c>
      <c r="AE96" s="123">
        <v>1</v>
      </c>
      <c r="AF96" s="123">
        <v>7</v>
      </c>
      <c r="AG96" s="106">
        <v>0</v>
      </c>
      <c r="AH96" s="123">
        <f t="shared" si="49"/>
        <v>8</v>
      </c>
      <c r="AI96" s="328">
        <f>AJ96/1000*AF96</f>
        <v>6.0759999999999996</v>
      </c>
      <c r="AJ96" s="123">
        <v>868</v>
      </c>
      <c r="AK96" s="123">
        <v>66</v>
      </c>
      <c r="AL96" s="388"/>
    </row>
    <row r="97" spans="1:38" ht="24.95" customHeight="1">
      <c r="A97" s="374">
        <v>3</v>
      </c>
      <c r="B97" s="310" t="s">
        <v>68</v>
      </c>
      <c r="C97" s="123">
        <v>8</v>
      </c>
      <c r="D97" s="123">
        <v>11</v>
      </c>
      <c r="E97" s="106">
        <v>5</v>
      </c>
      <c r="F97" s="123">
        <f t="shared" si="47"/>
        <v>24</v>
      </c>
      <c r="G97" s="421">
        <f>H97/1000*D97</f>
        <v>9.548</v>
      </c>
      <c r="H97" s="123">
        <v>868</v>
      </c>
      <c r="I97" s="123">
        <v>120</v>
      </c>
      <c r="J97" s="379">
        <f t="shared" si="50"/>
        <v>0</v>
      </c>
      <c r="K97" s="380">
        <f t="shared" si="51"/>
        <v>0</v>
      </c>
      <c r="L97" s="273">
        <f t="shared" si="52"/>
        <v>0</v>
      </c>
      <c r="M97" s="273">
        <f t="shared" si="53"/>
        <v>0</v>
      </c>
      <c r="N97" s="273">
        <f t="shared" si="54"/>
        <v>0</v>
      </c>
      <c r="O97" s="374">
        <v>3</v>
      </c>
      <c r="P97" s="27" t="s">
        <v>68</v>
      </c>
      <c r="Q97" s="123">
        <v>8</v>
      </c>
      <c r="R97" s="123">
        <v>11</v>
      </c>
      <c r="S97" s="106">
        <v>5</v>
      </c>
      <c r="T97" s="421">
        <f t="shared" si="48"/>
        <v>24</v>
      </c>
      <c r="U97" s="421">
        <f>V97/1000*R97</f>
        <v>9.548</v>
      </c>
      <c r="V97" s="123">
        <v>868</v>
      </c>
      <c r="W97" s="123">
        <v>120</v>
      </c>
      <c r="X97" s="381"/>
      <c r="AC97" s="374">
        <v>3</v>
      </c>
      <c r="AD97" s="27" t="s">
        <v>68</v>
      </c>
      <c r="AE97" s="123">
        <v>8</v>
      </c>
      <c r="AF97" s="123">
        <v>11</v>
      </c>
      <c r="AG97" s="106">
        <v>5</v>
      </c>
      <c r="AH97" s="123">
        <f t="shared" si="49"/>
        <v>24</v>
      </c>
      <c r="AI97" s="328">
        <f>AJ97/1000*AF97</f>
        <v>9.548</v>
      </c>
      <c r="AJ97" s="123">
        <v>868</v>
      </c>
      <c r="AK97" s="123">
        <v>120</v>
      </c>
      <c r="AL97" s="388"/>
    </row>
    <row r="98" spans="1:38" ht="24.95" customHeight="1">
      <c r="A98" s="374">
        <v>4</v>
      </c>
      <c r="B98" s="310" t="s">
        <v>69</v>
      </c>
      <c r="C98" s="123">
        <f>4-4</f>
        <v>0</v>
      </c>
      <c r="D98" s="123">
        <f>24+4-22</f>
        <v>6</v>
      </c>
      <c r="E98" s="123">
        <f>19+22-39</f>
        <v>2</v>
      </c>
      <c r="F98" s="123">
        <f t="shared" si="47"/>
        <v>8</v>
      </c>
      <c r="G98" s="421">
        <f>H98/1000*D98</f>
        <v>5.2080000000000002</v>
      </c>
      <c r="H98" s="123">
        <v>868</v>
      </c>
      <c r="I98" s="123">
        <f>190-12</f>
        <v>178</v>
      </c>
      <c r="J98" s="379">
        <f t="shared" si="50"/>
        <v>0</v>
      </c>
      <c r="K98" s="380">
        <f t="shared" si="51"/>
        <v>0</v>
      </c>
      <c r="L98" s="273">
        <f t="shared" si="52"/>
        <v>0</v>
      </c>
      <c r="M98" s="273">
        <f t="shared" si="53"/>
        <v>0</v>
      </c>
      <c r="N98" s="273">
        <f t="shared" si="54"/>
        <v>0</v>
      </c>
      <c r="O98" s="374">
        <v>4</v>
      </c>
      <c r="P98" s="340" t="s">
        <v>69</v>
      </c>
      <c r="Q98" s="123">
        <f>4-4</f>
        <v>0</v>
      </c>
      <c r="R98" s="123">
        <f>24+4-22</f>
        <v>6</v>
      </c>
      <c r="S98" s="123">
        <f>19+22-39</f>
        <v>2</v>
      </c>
      <c r="T98" s="421">
        <f t="shared" si="48"/>
        <v>8</v>
      </c>
      <c r="U98" s="421">
        <f>V98/1000*R98</f>
        <v>5.2080000000000002</v>
      </c>
      <c r="V98" s="123">
        <v>868</v>
      </c>
      <c r="W98" s="123">
        <f>190-12</f>
        <v>178</v>
      </c>
      <c r="X98" s="381"/>
      <c r="Z98" s="273"/>
      <c r="AA98" s="273">
        <f>S98-AG98</f>
        <v>-17</v>
      </c>
      <c r="AB98" s="273"/>
      <c r="AC98" s="374">
        <v>4</v>
      </c>
      <c r="AD98" s="27" t="s">
        <v>69</v>
      </c>
      <c r="AE98" s="123">
        <v>4</v>
      </c>
      <c r="AF98" s="123">
        <v>24</v>
      </c>
      <c r="AG98" s="123">
        <f>31-12</f>
        <v>19</v>
      </c>
      <c r="AH98" s="123">
        <f t="shared" si="49"/>
        <v>47</v>
      </c>
      <c r="AI98" s="328">
        <f>AJ98/1000*AF98</f>
        <v>20.832000000000001</v>
      </c>
      <c r="AJ98" s="123">
        <v>868</v>
      </c>
      <c r="AK98" s="123">
        <v>190</v>
      </c>
      <c r="AL98" s="388"/>
    </row>
    <row r="99" spans="1:38" ht="24.95" customHeight="1">
      <c r="A99" s="374">
        <v>5</v>
      </c>
      <c r="B99" s="609" t="s">
        <v>70</v>
      </c>
      <c r="C99" s="123">
        <f>10-2</f>
        <v>8</v>
      </c>
      <c r="D99" s="123">
        <f>12+2</f>
        <v>14</v>
      </c>
      <c r="E99" s="106">
        <f>10-3</f>
        <v>7</v>
      </c>
      <c r="F99" s="123">
        <f t="shared" si="47"/>
        <v>29</v>
      </c>
      <c r="G99" s="421">
        <f>H99/1000*D99</f>
        <v>12.151999999999999</v>
      </c>
      <c r="H99" s="123">
        <v>868</v>
      </c>
      <c r="I99" s="123">
        <f>53-1</f>
        <v>52</v>
      </c>
      <c r="J99" s="379">
        <f t="shared" si="50"/>
        <v>-3</v>
      </c>
      <c r="K99" s="380">
        <f t="shared" si="51"/>
        <v>0</v>
      </c>
      <c r="L99" s="273">
        <f t="shared" si="52"/>
        <v>0</v>
      </c>
      <c r="M99" s="273">
        <f t="shared" si="53"/>
        <v>-3</v>
      </c>
      <c r="N99" s="273">
        <f t="shared" si="54"/>
        <v>-1</v>
      </c>
      <c r="O99" s="374">
        <v>5</v>
      </c>
      <c r="P99" s="32" t="s">
        <v>70</v>
      </c>
      <c r="Q99" s="123">
        <f>10-2</f>
        <v>8</v>
      </c>
      <c r="R99" s="123">
        <f>12+2</f>
        <v>14</v>
      </c>
      <c r="S99" s="106">
        <f>15-5</f>
        <v>10</v>
      </c>
      <c r="T99" s="421">
        <f t="shared" si="48"/>
        <v>32</v>
      </c>
      <c r="U99" s="421">
        <f>V99/1000*R99</f>
        <v>12.151999999999999</v>
      </c>
      <c r="V99" s="123">
        <v>868</v>
      </c>
      <c r="W99" s="123">
        <f>55-2</f>
        <v>53</v>
      </c>
      <c r="X99" s="381"/>
      <c r="Y99" s="273">
        <f>Q99-AE99</f>
        <v>-2</v>
      </c>
      <c r="Z99" s="273">
        <f>R99-AF99</f>
        <v>2</v>
      </c>
      <c r="AC99" s="374">
        <v>5</v>
      </c>
      <c r="AD99" s="32" t="s">
        <v>70</v>
      </c>
      <c r="AE99" s="123">
        <v>10</v>
      </c>
      <c r="AF99" s="123">
        <v>12</v>
      </c>
      <c r="AG99" s="106">
        <v>15</v>
      </c>
      <c r="AH99" s="123">
        <f t="shared" si="49"/>
        <v>37</v>
      </c>
      <c r="AI99" s="328">
        <f>AJ99/1000*AF99</f>
        <v>10.416</v>
      </c>
      <c r="AJ99" s="123">
        <v>868</v>
      </c>
      <c r="AK99" s="123">
        <v>55</v>
      </c>
      <c r="AL99" s="388"/>
    </row>
    <row r="100" spans="1:38" ht="24.95" customHeight="1">
      <c r="A100" s="374">
        <v>6</v>
      </c>
      <c r="B100" s="610" t="s">
        <v>71</v>
      </c>
      <c r="C100" s="123">
        <f>3</f>
        <v>3</v>
      </c>
      <c r="D100" s="123">
        <f>20-2</f>
        <v>18</v>
      </c>
      <c r="E100" s="123">
        <f>23+2</f>
        <v>25</v>
      </c>
      <c r="F100" s="123">
        <f t="shared" si="47"/>
        <v>46</v>
      </c>
      <c r="G100" s="421">
        <f t="shared" ref="G100" si="55">H100/1000*D100</f>
        <v>15.624000000000001</v>
      </c>
      <c r="H100" s="123">
        <v>868</v>
      </c>
      <c r="I100" s="123">
        <f>72-1</f>
        <v>71</v>
      </c>
      <c r="J100" s="379">
        <f t="shared" si="50"/>
        <v>0</v>
      </c>
      <c r="K100" s="380">
        <f t="shared" si="51"/>
        <v>0</v>
      </c>
      <c r="L100" s="273">
        <f t="shared" si="52"/>
        <v>-2</v>
      </c>
      <c r="M100" s="273">
        <f t="shared" si="53"/>
        <v>2</v>
      </c>
      <c r="N100" s="273">
        <f t="shared" si="54"/>
        <v>0</v>
      </c>
      <c r="O100" s="374">
        <v>6</v>
      </c>
      <c r="P100" s="340" t="s">
        <v>71</v>
      </c>
      <c r="Q100" s="123">
        <f>6-3</f>
        <v>3</v>
      </c>
      <c r="R100" s="123">
        <f>24-4</f>
        <v>20</v>
      </c>
      <c r="S100" s="123">
        <f>23+4-4</f>
        <v>23</v>
      </c>
      <c r="T100" s="421">
        <f t="shared" si="48"/>
        <v>46</v>
      </c>
      <c r="U100" s="421">
        <f t="shared" ref="U100" si="56">V100/1000*R100</f>
        <v>17.36</v>
      </c>
      <c r="V100" s="123">
        <v>868</v>
      </c>
      <c r="W100" s="123">
        <f>72-1</f>
        <v>71</v>
      </c>
      <c r="X100" s="381">
        <f>T100-AH100</f>
        <v>-7</v>
      </c>
      <c r="Y100" s="273">
        <f>Q100-AE100</f>
        <v>-3</v>
      </c>
      <c r="Z100" s="273">
        <f>R100-AF100</f>
        <v>-1</v>
      </c>
      <c r="AA100" s="273">
        <f>S100-AG100</f>
        <v>-3</v>
      </c>
      <c r="AB100" s="273">
        <f>W100-AK100</f>
        <v>-1</v>
      </c>
      <c r="AC100" s="374">
        <v>6</v>
      </c>
      <c r="AD100" s="27" t="s">
        <v>110</v>
      </c>
      <c r="AE100" s="123">
        <f>8-2</f>
        <v>6</v>
      </c>
      <c r="AF100" s="123">
        <f>19+2</f>
        <v>21</v>
      </c>
      <c r="AG100" s="123">
        <f>30-4</f>
        <v>26</v>
      </c>
      <c r="AH100" s="123">
        <f t="shared" si="49"/>
        <v>53</v>
      </c>
      <c r="AI100" s="328">
        <f t="shared" ref="AI100" si="57">AJ100/1000*AF100</f>
        <v>18.228000000000002</v>
      </c>
      <c r="AJ100" s="123">
        <v>868</v>
      </c>
      <c r="AK100" s="123">
        <f>74-2</f>
        <v>72</v>
      </c>
      <c r="AL100" s="388"/>
    </row>
    <row r="101" spans="1:38" ht="24.95" customHeight="1">
      <c r="A101" s="374">
        <v>7</v>
      </c>
      <c r="B101" s="310" t="s">
        <v>72</v>
      </c>
      <c r="C101" s="123">
        <v>0</v>
      </c>
      <c r="D101" s="123">
        <v>0</v>
      </c>
      <c r="E101" s="106">
        <v>0</v>
      </c>
      <c r="F101" s="123">
        <f t="shared" si="47"/>
        <v>0</v>
      </c>
      <c r="G101" s="421">
        <v>0</v>
      </c>
      <c r="H101" s="544" t="s">
        <v>20</v>
      </c>
      <c r="I101" s="123" t="s">
        <v>20</v>
      </c>
      <c r="J101" s="379"/>
      <c r="K101" s="380"/>
      <c r="L101" s="273"/>
      <c r="M101" s="273"/>
      <c r="N101" s="273"/>
      <c r="O101" s="374">
        <v>7</v>
      </c>
      <c r="P101" s="310" t="s">
        <v>72</v>
      </c>
      <c r="Q101" s="123">
        <v>0</v>
      </c>
      <c r="R101" s="123">
        <v>0</v>
      </c>
      <c r="S101" s="123">
        <v>0</v>
      </c>
      <c r="T101" s="123">
        <v>0</v>
      </c>
      <c r="U101" s="123">
        <v>0</v>
      </c>
      <c r="V101" s="123">
        <v>0</v>
      </c>
      <c r="W101" s="123">
        <v>0</v>
      </c>
      <c r="X101" s="381"/>
      <c r="AC101" s="374">
        <v>7</v>
      </c>
      <c r="AD101" s="27" t="s">
        <v>72</v>
      </c>
      <c r="AE101" s="123" t="s">
        <v>20</v>
      </c>
      <c r="AF101" s="123" t="s">
        <v>20</v>
      </c>
      <c r="AG101" s="106" t="s">
        <v>20</v>
      </c>
      <c r="AH101" s="123" t="s">
        <v>20</v>
      </c>
      <c r="AI101" s="328" t="s">
        <v>20</v>
      </c>
      <c r="AJ101" s="544" t="s">
        <v>20</v>
      </c>
      <c r="AK101" s="123" t="s">
        <v>20</v>
      </c>
      <c r="AL101" s="388"/>
    </row>
    <row r="102" spans="1:38" ht="24.95" customHeight="1">
      <c r="A102" s="374">
        <v>8</v>
      </c>
      <c r="B102" s="310" t="s">
        <v>73</v>
      </c>
      <c r="C102" s="123">
        <v>0</v>
      </c>
      <c r="D102" s="123">
        <v>0</v>
      </c>
      <c r="E102" s="106">
        <v>0</v>
      </c>
      <c r="F102" s="123">
        <f t="shared" si="47"/>
        <v>0</v>
      </c>
      <c r="G102" s="421">
        <v>0</v>
      </c>
      <c r="H102" s="544" t="s">
        <v>20</v>
      </c>
      <c r="I102" s="123" t="s">
        <v>20</v>
      </c>
      <c r="J102" s="379"/>
      <c r="K102" s="380"/>
      <c r="L102" s="273"/>
      <c r="M102" s="273"/>
      <c r="N102" s="273"/>
      <c r="O102" s="374">
        <v>8</v>
      </c>
      <c r="P102" s="310" t="s">
        <v>73</v>
      </c>
      <c r="Q102" s="123">
        <v>0</v>
      </c>
      <c r="R102" s="123">
        <v>0</v>
      </c>
      <c r="S102" s="123">
        <v>0</v>
      </c>
      <c r="T102" s="123">
        <v>0</v>
      </c>
      <c r="U102" s="123">
        <v>0</v>
      </c>
      <c r="V102" s="123">
        <v>0</v>
      </c>
      <c r="W102" s="123">
        <v>0</v>
      </c>
      <c r="X102" s="381"/>
      <c r="AC102" s="374">
        <v>8</v>
      </c>
      <c r="AD102" s="27" t="s">
        <v>73</v>
      </c>
      <c r="AE102" s="123" t="s">
        <v>20</v>
      </c>
      <c r="AF102" s="123" t="s">
        <v>20</v>
      </c>
      <c r="AG102" s="123" t="s">
        <v>20</v>
      </c>
      <c r="AH102" s="123" t="s">
        <v>20</v>
      </c>
      <c r="AI102" s="328" t="s">
        <v>20</v>
      </c>
      <c r="AJ102" s="544" t="s">
        <v>20</v>
      </c>
      <c r="AK102" s="123" t="s">
        <v>20</v>
      </c>
      <c r="AL102" s="388"/>
    </row>
    <row r="103" spans="1:38" ht="24.95" customHeight="1">
      <c r="A103" s="374">
        <v>9</v>
      </c>
      <c r="B103" s="610" t="s">
        <v>74</v>
      </c>
      <c r="C103" s="123">
        <v>0</v>
      </c>
      <c r="D103" s="123">
        <v>0</v>
      </c>
      <c r="E103" s="123">
        <f>28-1-1</f>
        <v>26</v>
      </c>
      <c r="F103" s="123">
        <f>E103</f>
        <v>26</v>
      </c>
      <c r="G103" s="421" t="s">
        <v>20</v>
      </c>
      <c r="H103" s="544" t="s">
        <v>20</v>
      </c>
      <c r="I103" s="123">
        <f>49-1-1</f>
        <v>47</v>
      </c>
      <c r="J103" s="379">
        <f t="shared" si="50"/>
        <v>-1</v>
      </c>
      <c r="K103" s="380"/>
      <c r="L103" s="273"/>
      <c r="M103" s="273">
        <f t="shared" si="53"/>
        <v>-1</v>
      </c>
      <c r="N103" s="273">
        <f t="shared" si="54"/>
        <v>-1</v>
      </c>
      <c r="O103" s="374">
        <v>9</v>
      </c>
      <c r="P103" s="340" t="s">
        <v>74</v>
      </c>
      <c r="Q103" s="123">
        <v>0</v>
      </c>
      <c r="R103" s="123">
        <v>0</v>
      </c>
      <c r="S103" s="123">
        <f>28-1</f>
        <v>27</v>
      </c>
      <c r="T103" s="421">
        <f>S103</f>
        <v>27</v>
      </c>
      <c r="U103" s="123">
        <v>0</v>
      </c>
      <c r="V103" s="544">
        <v>0</v>
      </c>
      <c r="W103" s="123">
        <f>49-1</f>
        <v>48</v>
      </c>
      <c r="X103" s="381">
        <f>T103-AH103</f>
        <v>-5</v>
      </c>
      <c r="Z103" s="273"/>
      <c r="AA103" s="273">
        <f>S103-AG103</f>
        <v>-5</v>
      </c>
      <c r="AB103" s="273">
        <f>W103-AK103</f>
        <v>-4</v>
      </c>
      <c r="AC103" s="374">
        <v>9</v>
      </c>
      <c r="AD103" s="27" t="s">
        <v>74</v>
      </c>
      <c r="AE103" s="123" t="s">
        <v>20</v>
      </c>
      <c r="AF103" s="123" t="s">
        <v>20</v>
      </c>
      <c r="AG103" s="123">
        <f>34-2</f>
        <v>32</v>
      </c>
      <c r="AH103" s="123">
        <f>AG103</f>
        <v>32</v>
      </c>
      <c r="AI103" s="328" t="s">
        <v>20</v>
      </c>
      <c r="AJ103" s="544" t="s">
        <v>20</v>
      </c>
      <c r="AK103" s="123">
        <v>52</v>
      </c>
      <c r="AL103" s="388"/>
    </row>
    <row r="104" spans="1:38" ht="24.95" customHeight="1">
      <c r="A104" s="374">
        <v>10</v>
      </c>
      <c r="B104" s="307" t="s">
        <v>75</v>
      </c>
      <c r="C104" s="123">
        <f>2-1</f>
        <v>1</v>
      </c>
      <c r="D104" s="123">
        <f>5-2</f>
        <v>3</v>
      </c>
      <c r="E104" s="123">
        <f>18+2</f>
        <v>20</v>
      </c>
      <c r="F104" s="123">
        <f t="shared" ref="F104" si="58">E104+D104+C104</f>
        <v>24</v>
      </c>
      <c r="G104" s="564">
        <f t="shared" ref="G104" si="59">H104/1000*D104</f>
        <v>2.6040000000000001</v>
      </c>
      <c r="H104" s="123">
        <v>868</v>
      </c>
      <c r="I104" s="123">
        <v>24</v>
      </c>
      <c r="J104" s="379">
        <f t="shared" si="50"/>
        <v>0</v>
      </c>
      <c r="K104" s="380">
        <f t="shared" si="51"/>
        <v>0</v>
      </c>
      <c r="L104" s="380">
        <f t="shared" ref="L104" si="60">D104-R104</f>
        <v>0</v>
      </c>
      <c r="M104" s="380">
        <f t="shared" si="53"/>
        <v>0</v>
      </c>
      <c r="N104" s="380">
        <f t="shared" si="53"/>
        <v>0</v>
      </c>
      <c r="O104" s="374">
        <v>10</v>
      </c>
      <c r="P104" s="340" t="s">
        <v>75</v>
      </c>
      <c r="Q104" s="123">
        <f>2-1</f>
        <v>1</v>
      </c>
      <c r="R104" s="123">
        <f>5-2</f>
        <v>3</v>
      </c>
      <c r="S104" s="123">
        <f>18+2</f>
        <v>20</v>
      </c>
      <c r="T104" s="421">
        <f t="shared" ref="T104" si="61">S104+R104+Q104</f>
        <v>24</v>
      </c>
      <c r="U104" s="421">
        <f t="shared" ref="U104" si="62">V104/1000*R104</f>
        <v>2.6040000000000001</v>
      </c>
      <c r="V104" s="123">
        <v>868</v>
      </c>
      <c r="W104" s="123">
        <v>24</v>
      </c>
      <c r="X104" s="381"/>
      <c r="AC104" s="374">
        <v>10</v>
      </c>
      <c r="AD104" s="27" t="s">
        <v>75</v>
      </c>
      <c r="AE104" s="123">
        <v>2</v>
      </c>
      <c r="AF104" s="123">
        <v>4</v>
      </c>
      <c r="AG104" s="123">
        <v>18</v>
      </c>
      <c r="AH104" s="123">
        <f t="shared" ref="AH104" si="63">AG104+AF104+AE104</f>
        <v>24</v>
      </c>
      <c r="AI104" s="328">
        <f t="shared" ref="AI104" si="64">AJ104/1000*AF104</f>
        <v>3.472</v>
      </c>
      <c r="AJ104" s="123">
        <v>868</v>
      </c>
      <c r="AK104" s="123">
        <v>24</v>
      </c>
      <c r="AL104" s="388"/>
    </row>
    <row r="105" spans="1:38" ht="24.95" customHeight="1">
      <c r="A105" s="374">
        <v>11</v>
      </c>
      <c r="B105" s="368" t="s">
        <v>76</v>
      </c>
      <c r="C105" s="123">
        <v>0</v>
      </c>
      <c r="D105" s="123">
        <v>0</v>
      </c>
      <c r="E105" s="123">
        <v>0</v>
      </c>
      <c r="F105" s="123">
        <v>0</v>
      </c>
      <c r="G105" s="421">
        <v>0</v>
      </c>
      <c r="H105" s="123">
        <v>0</v>
      </c>
      <c r="I105" s="123">
        <v>0</v>
      </c>
      <c r="J105" s="381"/>
      <c r="K105" s="380"/>
      <c r="O105" s="374">
        <v>11</v>
      </c>
      <c r="P105" s="368" t="s">
        <v>76</v>
      </c>
      <c r="Q105" s="123">
        <v>0</v>
      </c>
      <c r="R105" s="123">
        <v>0</v>
      </c>
      <c r="S105" s="123">
        <v>0</v>
      </c>
      <c r="T105" s="123">
        <v>0</v>
      </c>
      <c r="U105" s="123">
        <v>0</v>
      </c>
      <c r="V105" s="123">
        <v>0</v>
      </c>
      <c r="W105" s="123">
        <v>0</v>
      </c>
      <c r="X105" s="381"/>
      <c r="AC105" s="374">
        <v>11</v>
      </c>
      <c r="AD105" s="35" t="s">
        <v>76</v>
      </c>
      <c r="AE105" s="123" t="s">
        <v>20</v>
      </c>
      <c r="AF105" s="123" t="s">
        <v>20</v>
      </c>
      <c r="AG105" s="123" t="s">
        <v>20</v>
      </c>
      <c r="AH105" s="123" t="s">
        <v>20</v>
      </c>
      <c r="AI105" s="328" t="s">
        <v>20</v>
      </c>
      <c r="AJ105" s="544" t="s">
        <v>20</v>
      </c>
      <c r="AK105" s="123" t="s">
        <v>20</v>
      </c>
      <c r="AL105" s="388"/>
    </row>
    <row r="106" spans="1:38" ht="24.95" customHeight="1">
      <c r="A106" s="664" t="s">
        <v>77</v>
      </c>
      <c r="B106" s="665"/>
      <c r="C106" s="369">
        <f>SUM(C95:C105)</f>
        <v>24</v>
      </c>
      <c r="D106" s="370">
        <f>SUM(D95:D105)</f>
        <v>72</v>
      </c>
      <c r="E106" s="369">
        <f>SUM(E95:E105)</f>
        <v>176</v>
      </c>
      <c r="F106" s="370">
        <f>SUM(F95:F105)</f>
        <v>272</v>
      </c>
      <c r="G106" s="441">
        <f>SUM(G95:G105)</f>
        <v>62.496000000000002</v>
      </c>
      <c r="H106" s="317">
        <v>868</v>
      </c>
      <c r="I106" s="382">
        <f>SUM(I95:I105)</f>
        <v>768</v>
      </c>
      <c r="J106" s="383">
        <f>SUM(J95:J105)</f>
        <v>-13</v>
      </c>
      <c r="K106" s="380">
        <f>SUM(K95:K104)</f>
        <v>0</v>
      </c>
      <c r="L106" s="380">
        <f t="shared" ref="L106:N106" si="65">SUM(L95:L104)</f>
        <v>-2</v>
      </c>
      <c r="M106" s="380">
        <f t="shared" si="65"/>
        <v>-11</v>
      </c>
      <c r="N106" s="380">
        <f t="shared" si="65"/>
        <v>-5</v>
      </c>
      <c r="O106" s="664" t="s">
        <v>77</v>
      </c>
      <c r="P106" s="665"/>
      <c r="Q106" s="369">
        <f>SUM(Q95:Q105)</f>
        <v>24</v>
      </c>
      <c r="R106" s="370">
        <f>SUM(R95:R105)</f>
        <v>74</v>
      </c>
      <c r="S106" s="369">
        <f>SUM(S95:S105)</f>
        <v>187</v>
      </c>
      <c r="T106" s="370">
        <f>SUM(T95:T105)</f>
        <v>285</v>
      </c>
      <c r="U106" s="371">
        <f>SUM(U95:U105)</f>
        <v>64.231999999999999</v>
      </c>
      <c r="V106" s="317">
        <v>868</v>
      </c>
      <c r="W106" s="382">
        <f>SUM(W95:W105)</f>
        <v>773</v>
      </c>
      <c r="X106" s="383">
        <f>SUM(X95:X105)</f>
        <v>-15</v>
      </c>
      <c r="Y106" s="273">
        <f>SUM(Y95:Y105)</f>
        <v>-5</v>
      </c>
      <c r="Z106" s="273">
        <f t="shared" ref="Z106:AB106" si="66">SUM(Z95:Z105)</f>
        <v>-8</v>
      </c>
      <c r="AA106" s="273">
        <f t="shared" si="66"/>
        <v>-19</v>
      </c>
      <c r="AB106" s="273">
        <f t="shared" si="66"/>
        <v>-11</v>
      </c>
      <c r="AC106" s="664" t="s">
        <v>77</v>
      </c>
      <c r="AD106" s="665"/>
      <c r="AE106" s="384">
        <f>SUM(AE95:AE105)</f>
        <v>34</v>
      </c>
      <c r="AF106" s="317">
        <f>SUM(AF95:AF105)</f>
        <v>104</v>
      </c>
      <c r="AG106" s="384">
        <f>SUM(AG95:AG105)</f>
        <v>208</v>
      </c>
      <c r="AH106" s="317">
        <f>SUM(AH95:AH105)</f>
        <v>346</v>
      </c>
      <c r="AI106" s="371">
        <f>SUM(AI95:AI105)</f>
        <v>90.272000000000006</v>
      </c>
      <c r="AJ106" s="317">
        <v>868</v>
      </c>
      <c r="AK106" s="382">
        <f>SUM(AK95:AK105)</f>
        <v>799</v>
      </c>
      <c r="AL106" s="389"/>
    </row>
    <row r="107" spans="1:38" ht="24.95" customHeight="1">
      <c r="C107" s="276">
        <f>C106-Q106</f>
        <v>0</v>
      </c>
      <c r="D107" s="276">
        <f t="shared" ref="D107:I107" si="67">D106-R106</f>
        <v>-2</v>
      </c>
      <c r="E107" s="276">
        <f t="shared" si="67"/>
        <v>-11</v>
      </c>
      <c r="F107" s="276">
        <f t="shared" si="67"/>
        <v>-13</v>
      </c>
      <c r="G107" s="276">
        <f t="shared" si="67"/>
        <v>-1.7359999999999971</v>
      </c>
      <c r="H107" s="276">
        <f t="shared" si="67"/>
        <v>0</v>
      </c>
      <c r="I107" s="276">
        <f t="shared" si="67"/>
        <v>-5</v>
      </c>
      <c r="Q107" s="276">
        <f t="shared" ref="Q107:W107" si="68">Q106-AE106</f>
        <v>-10</v>
      </c>
      <c r="R107" s="276">
        <f t="shared" si="68"/>
        <v>-30</v>
      </c>
      <c r="S107" s="276">
        <f t="shared" si="68"/>
        <v>-21</v>
      </c>
      <c r="T107" s="276">
        <f t="shared" si="68"/>
        <v>-61</v>
      </c>
      <c r="U107" s="276">
        <f t="shared" si="68"/>
        <v>-26.040000000000006</v>
      </c>
      <c r="V107" s="276">
        <f t="shared" si="68"/>
        <v>0</v>
      </c>
      <c r="W107" s="276">
        <f t="shared" si="68"/>
        <v>-26</v>
      </c>
      <c r="AA107" s="273"/>
      <c r="AB107" s="273"/>
    </row>
    <row r="108" spans="1:38" ht="24.95" customHeight="1">
      <c r="B108" s="6" t="s">
        <v>12</v>
      </c>
      <c r="C108" s="320" t="s">
        <v>33</v>
      </c>
      <c r="D108" s="118"/>
      <c r="E108" s="118"/>
      <c r="F108" s="118"/>
      <c r="G108" s="376"/>
      <c r="H108">
        <f>G106/D106*1000</f>
        <v>868</v>
      </c>
      <c r="L108">
        <v>13.89</v>
      </c>
      <c r="P108" s="6" t="s">
        <v>12</v>
      </c>
      <c r="Q108" s="320" t="s">
        <v>33</v>
      </c>
      <c r="R108" s="118"/>
      <c r="S108" s="118"/>
      <c r="T108" s="118"/>
      <c r="U108" s="1"/>
      <c r="V108">
        <f>U106/R106*1000</f>
        <v>868</v>
      </c>
      <c r="AD108" s="385"/>
      <c r="AE108" s="118"/>
      <c r="AF108" s="118"/>
      <c r="AG108" s="118"/>
      <c r="AH108" s="118"/>
      <c r="AI108" s="1" t="s">
        <v>104</v>
      </c>
    </row>
    <row r="109" spans="1:38" ht="24.95" customHeight="1">
      <c r="B109" s="6" t="s">
        <v>13</v>
      </c>
      <c r="C109" s="320" t="s">
        <v>34</v>
      </c>
      <c r="F109" s="273">
        <f>C106+D106+E106</f>
        <v>272</v>
      </c>
      <c r="G109" s="650"/>
      <c r="H109" s="637"/>
      <c r="I109" s="637"/>
      <c r="J109" s="637"/>
      <c r="K109" s="48"/>
      <c r="L109">
        <v>3.47</v>
      </c>
      <c r="P109" s="6" t="s">
        <v>13</v>
      </c>
      <c r="Q109" s="320" t="s">
        <v>34</v>
      </c>
      <c r="T109" s="273">
        <f>Q106+R106+S106</f>
        <v>285</v>
      </c>
      <c r="U109" s="650"/>
      <c r="V109" s="637"/>
      <c r="W109" s="637"/>
      <c r="X109" s="637"/>
      <c r="AI109" s="266" t="s">
        <v>105</v>
      </c>
      <c r="AJ109" s="323"/>
      <c r="AK109" s="323"/>
      <c r="AL109" s="323"/>
    </row>
    <row r="110" spans="1:38" ht="24.95" customHeight="1">
      <c r="B110" s="6" t="s">
        <v>14</v>
      </c>
      <c r="C110" s="320" t="s">
        <v>35</v>
      </c>
      <c r="G110" s="1"/>
      <c r="L110">
        <v>9.5500000000000007</v>
      </c>
      <c r="P110" s="6" t="s">
        <v>14</v>
      </c>
      <c r="Q110" s="320" t="s">
        <v>35</v>
      </c>
      <c r="U110" s="1"/>
      <c r="AF110" s="273"/>
      <c r="AI110" s="1" t="s">
        <v>106</v>
      </c>
    </row>
    <row r="111" spans="1:38" ht="24.95" customHeight="1">
      <c r="G111" s="650"/>
      <c r="H111" s="650"/>
      <c r="I111" s="650"/>
      <c r="J111" s="650"/>
      <c r="K111" s="47"/>
      <c r="L111">
        <v>5.21</v>
      </c>
      <c r="U111" s="650"/>
      <c r="V111" s="650"/>
      <c r="W111" s="650"/>
      <c r="X111" s="650"/>
      <c r="AI111" s="650"/>
      <c r="AJ111" s="650"/>
      <c r="AK111" s="650"/>
      <c r="AL111" s="650"/>
    </row>
    <row r="112" spans="1:38" ht="24.95" customHeight="1">
      <c r="G112" s="48"/>
      <c r="H112" s="48"/>
      <c r="I112" s="48"/>
      <c r="J112" s="48"/>
      <c r="K112" s="48"/>
      <c r="L112">
        <v>12.15</v>
      </c>
      <c r="U112" s="48"/>
      <c r="V112" s="48"/>
      <c r="W112" s="48"/>
      <c r="X112" s="48"/>
      <c r="AD112" s="386"/>
      <c r="AI112" s="48"/>
      <c r="AJ112" s="48"/>
      <c r="AK112" s="48"/>
      <c r="AL112" s="48"/>
    </row>
    <row r="113" spans="7:38">
      <c r="G113" s="637"/>
      <c r="H113" s="637"/>
      <c r="I113" s="637"/>
      <c r="J113" s="637"/>
      <c r="K113" s="48"/>
      <c r="L113">
        <v>17.36</v>
      </c>
      <c r="U113" s="637"/>
      <c r="V113" s="637"/>
      <c r="W113" s="637"/>
      <c r="X113" s="637"/>
      <c r="AD113" s="273"/>
      <c r="AI113" s="637"/>
      <c r="AJ113" s="637"/>
      <c r="AK113" s="637"/>
      <c r="AL113" s="637"/>
    </row>
    <row r="114" spans="7:38">
      <c r="G114" s="637"/>
      <c r="H114" s="637"/>
      <c r="I114" s="637"/>
      <c r="J114" s="637"/>
      <c r="K114" s="48"/>
      <c r="L114">
        <v>0</v>
      </c>
      <c r="U114" s="637"/>
      <c r="V114" s="637"/>
      <c r="W114" s="637"/>
      <c r="X114" s="637"/>
      <c r="AI114" s="637"/>
      <c r="AJ114" s="637"/>
      <c r="AK114" s="637"/>
      <c r="AL114" s="637"/>
    </row>
    <row r="115" spans="7:38">
      <c r="L115">
        <v>0</v>
      </c>
    </row>
    <row r="116" spans="7:38">
      <c r="L116">
        <v>0</v>
      </c>
    </row>
    <row r="117" spans="7:38" ht="15">
      <c r="G117" s="653"/>
      <c r="H117" s="653"/>
      <c r="I117" s="653"/>
      <c r="J117" s="653"/>
      <c r="K117" s="46"/>
      <c r="L117">
        <v>2.6</v>
      </c>
      <c r="U117" s="653"/>
      <c r="V117" s="653"/>
      <c r="W117" s="653"/>
      <c r="X117" s="653"/>
      <c r="AI117" s="653"/>
      <c r="AJ117" s="653"/>
      <c r="AK117" s="653"/>
      <c r="AL117" s="653"/>
    </row>
    <row r="118" spans="7:38">
      <c r="G118" s="637"/>
      <c r="H118" s="637"/>
      <c r="I118" s="637"/>
      <c r="J118" s="637"/>
      <c r="K118" s="48"/>
      <c r="L118">
        <v>0</v>
      </c>
      <c r="U118" s="637"/>
      <c r="V118" s="637"/>
      <c r="W118" s="637"/>
      <c r="X118" s="637"/>
      <c r="AI118" s="637"/>
      <c r="AJ118" s="637"/>
      <c r="AK118" s="637"/>
      <c r="AL118" s="637"/>
    </row>
    <row r="119" spans="7:38">
      <c r="G119" s="637"/>
      <c r="H119" s="637"/>
      <c r="I119" s="637"/>
      <c r="J119" s="637"/>
      <c r="K119" s="48"/>
      <c r="U119" s="637"/>
      <c r="V119" s="637"/>
      <c r="W119" s="637"/>
      <c r="X119" s="637"/>
      <c r="AI119" s="637"/>
      <c r="AJ119" s="637"/>
      <c r="AK119" s="637"/>
      <c r="AL119" s="637"/>
    </row>
    <row r="120" spans="7:38">
      <c r="G120" s="48"/>
      <c r="H120" s="48"/>
      <c r="I120" s="48"/>
      <c r="J120" s="48"/>
      <c r="K120" s="48"/>
      <c r="U120" s="48"/>
      <c r="V120" s="48"/>
      <c r="W120" s="48"/>
      <c r="X120" s="48"/>
      <c r="AI120" s="48"/>
      <c r="AJ120" s="48"/>
      <c r="AK120" s="48"/>
      <c r="AL120" s="48"/>
    </row>
    <row r="121" spans="7:38">
      <c r="G121" s="48"/>
      <c r="H121" s="48"/>
      <c r="I121" s="48"/>
      <c r="J121" s="48"/>
      <c r="K121" s="48"/>
      <c r="U121" s="48"/>
      <c r="V121" s="48"/>
      <c r="W121" s="48"/>
      <c r="X121" s="48"/>
      <c r="AI121" s="48"/>
      <c r="AJ121" s="48"/>
      <c r="AK121" s="48"/>
      <c r="AL121" s="48"/>
    </row>
    <row r="122" spans="7:38">
      <c r="G122" s="48"/>
      <c r="H122" s="48"/>
      <c r="I122" s="48"/>
      <c r="J122" s="48"/>
      <c r="K122" s="48"/>
      <c r="U122" s="48"/>
      <c r="V122" s="48"/>
      <c r="W122" s="48"/>
      <c r="X122" s="48"/>
      <c r="AI122" s="48"/>
      <c r="AJ122" s="48"/>
      <c r="AK122" s="48"/>
      <c r="AL122" s="48"/>
    </row>
    <row r="123" spans="7:38">
      <c r="G123" s="48"/>
      <c r="H123" s="48"/>
      <c r="I123" s="48"/>
      <c r="J123" s="48"/>
      <c r="K123" s="48"/>
      <c r="U123" s="48"/>
      <c r="V123" s="48"/>
      <c r="W123" s="48"/>
      <c r="X123" s="48"/>
      <c r="AI123" s="48"/>
      <c r="AJ123" s="48"/>
      <c r="AK123" s="48"/>
      <c r="AL123" s="48"/>
    </row>
    <row r="124" spans="7:38">
      <c r="G124" s="48"/>
      <c r="H124" s="48"/>
      <c r="I124" s="48"/>
      <c r="J124" s="48"/>
      <c r="K124" s="48"/>
      <c r="U124" s="48"/>
      <c r="V124" s="48"/>
      <c r="W124" s="48"/>
      <c r="X124" s="48"/>
      <c r="AI124" s="48"/>
      <c r="AJ124" s="48"/>
      <c r="AK124" s="48"/>
      <c r="AL124" s="48"/>
    </row>
    <row r="125" spans="7:38">
      <c r="G125" s="48"/>
      <c r="H125" s="48"/>
      <c r="I125" s="48"/>
      <c r="J125" s="48"/>
      <c r="K125" s="48"/>
      <c r="U125" s="48"/>
      <c r="V125" s="48"/>
      <c r="W125" s="48"/>
      <c r="X125" s="48"/>
      <c r="AI125" s="48"/>
      <c r="AJ125" s="48"/>
      <c r="AK125" s="48"/>
      <c r="AL125" s="48"/>
    </row>
    <row r="126" spans="7:38" ht="24.95" customHeight="1">
      <c r="G126" s="48"/>
      <c r="H126" s="48"/>
      <c r="I126" s="48"/>
      <c r="J126" s="48"/>
      <c r="K126" s="48"/>
      <c r="U126" s="48"/>
      <c r="V126" s="48"/>
      <c r="W126" s="48"/>
      <c r="X126" s="48"/>
      <c r="AI126" s="48"/>
      <c r="AJ126" s="48"/>
      <c r="AK126" s="48"/>
      <c r="AL126" s="48"/>
    </row>
    <row r="127" spans="7:38" ht="24.95" customHeight="1">
      <c r="G127" s="48"/>
      <c r="H127" s="48"/>
      <c r="I127" s="48"/>
      <c r="J127" s="48"/>
      <c r="K127" s="48"/>
      <c r="U127" s="48"/>
      <c r="V127" s="48"/>
      <c r="W127" s="48"/>
      <c r="X127" s="48"/>
      <c r="AI127" s="48"/>
      <c r="AJ127" s="48"/>
      <c r="AK127" s="48"/>
      <c r="AL127" s="48"/>
    </row>
    <row r="128" spans="7:38" ht="24.95" customHeight="1">
      <c r="G128" s="48"/>
      <c r="H128" s="48"/>
      <c r="I128" s="48"/>
      <c r="J128" s="48"/>
      <c r="K128" s="48"/>
      <c r="U128" s="48"/>
      <c r="V128" s="48"/>
      <c r="W128" s="48"/>
      <c r="X128" s="48"/>
      <c r="AI128" s="48"/>
      <c r="AJ128" s="48"/>
      <c r="AK128" s="48"/>
      <c r="AL128" s="48"/>
    </row>
    <row r="129" spans="1:38" ht="24.95" customHeight="1">
      <c r="G129" s="48"/>
      <c r="H129" s="48"/>
      <c r="I129" s="48"/>
      <c r="J129" s="48"/>
      <c r="K129" s="48"/>
      <c r="U129" s="48"/>
      <c r="V129" s="48"/>
      <c r="W129" s="48"/>
      <c r="X129" s="48"/>
      <c r="AI129" s="48"/>
      <c r="AJ129" s="48"/>
      <c r="AK129" s="48"/>
      <c r="AL129" s="48"/>
    </row>
    <row r="130" spans="1:38" ht="24.95" customHeight="1">
      <c r="G130" s="48"/>
      <c r="H130" s="48"/>
      <c r="I130" s="48"/>
      <c r="J130" s="48"/>
      <c r="K130" s="48"/>
      <c r="U130" s="48"/>
      <c r="V130" s="48"/>
      <c r="W130" s="48"/>
      <c r="X130" s="48"/>
      <c r="AI130" s="48"/>
      <c r="AJ130" s="48"/>
      <c r="AK130" s="48"/>
      <c r="AL130" s="48"/>
    </row>
    <row r="131" spans="1:38" ht="24.95" customHeight="1">
      <c r="A131" s="632" t="s">
        <v>59</v>
      </c>
      <c r="B131" s="632"/>
      <c r="C131" s="632"/>
      <c r="D131" s="632"/>
      <c r="E131" s="632"/>
      <c r="F131" s="632"/>
      <c r="G131" s="632"/>
      <c r="H131" s="632"/>
      <c r="I131" s="632"/>
      <c r="J131" s="632"/>
      <c r="K131" s="296"/>
      <c r="O131" s="632" t="s">
        <v>59</v>
      </c>
      <c r="P131" s="632"/>
      <c r="Q131" s="632"/>
      <c r="R131" s="632"/>
      <c r="S131" s="632"/>
      <c r="T131" s="632"/>
      <c r="U131" s="632"/>
      <c r="V131" s="632"/>
      <c r="W131" s="632"/>
      <c r="X131" s="632"/>
      <c r="AC131" s="663" t="s">
        <v>59</v>
      </c>
      <c r="AD131" s="663"/>
      <c r="AE131" s="663"/>
      <c r="AF131" s="663"/>
      <c r="AG131" s="663"/>
      <c r="AH131" s="663"/>
      <c r="AI131" s="663"/>
      <c r="AJ131" s="663"/>
      <c r="AK131" s="663"/>
      <c r="AL131" s="663"/>
    </row>
    <row r="132" spans="1:38" ht="24.95" customHeight="1">
      <c r="A132" s="632" t="s">
        <v>1</v>
      </c>
      <c r="B132" s="632"/>
      <c r="C132" s="632"/>
      <c r="D132" s="632"/>
      <c r="E132" s="632"/>
      <c r="F132" s="632"/>
      <c r="G132" s="632"/>
      <c r="H132" s="632"/>
      <c r="I132" s="632"/>
      <c r="J132" s="632"/>
      <c r="K132" s="296"/>
      <c r="O132" s="632" t="s">
        <v>1</v>
      </c>
      <c r="P132" s="632"/>
      <c r="Q132" s="632"/>
      <c r="R132" s="632"/>
      <c r="S132" s="632"/>
      <c r="T132" s="632"/>
      <c r="U132" s="632"/>
      <c r="V132" s="632"/>
      <c r="W132" s="632"/>
      <c r="X132" s="632"/>
      <c r="AC132" s="663" t="s">
        <v>1</v>
      </c>
      <c r="AD132" s="663"/>
      <c r="AE132" s="663"/>
      <c r="AF132" s="663"/>
      <c r="AG132" s="663"/>
      <c r="AH132" s="663"/>
      <c r="AI132" s="663"/>
      <c r="AJ132" s="663"/>
      <c r="AK132" s="663"/>
      <c r="AL132" s="663"/>
    </row>
    <row r="133" spans="1:38" ht="24.95" customHeight="1">
      <c r="A133" s="632" t="s">
        <v>206</v>
      </c>
      <c r="B133" s="632"/>
      <c r="C133" s="632"/>
      <c r="D133" s="632"/>
      <c r="E133" s="632"/>
      <c r="F133" s="632"/>
      <c r="G133" s="632"/>
      <c r="H133" s="632"/>
      <c r="I133" s="632"/>
      <c r="J133" s="632"/>
      <c r="K133" s="296"/>
      <c r="O133" s="632" t="s">
        <v>60</v>
      </c>
      <c r="P133" s="632"/>
      <c r="Q133" s="632"/>
      <c r="R133" s="632"/>
      <c r="S133" s="632"/>
      <c r="T133" s="632"/>
      <c r="U133" s="632"/>
      <c r="V133" s="632"/>
      <c r="W133" s="632"/>
      <c r="X133" s="632"/>
      <c r="AC133" s="663" t="s">
        <v>107</v>
      </c>
      <c r="AD133" s="663"/>
      <c r="AE133" s="663"/>
      <c r="AF133" s="663"/>
      <c r="AG133" s="663"/>
      <c r="AH133" s="663"/>
      <c r="AI133" s="663"/>
      <c r="AJ133" s="663"/>
      <c r="AK133" s="663"/>
      <c r="AL133" s="663"/>
    </row>
    <row r="134" spans="1:38" ht="24.95" customHeight="1">
      <c r="A134" s="296"/>
      <c r="B134" s="296"/>
      <c r="C134" s="296"/>
      <c r="D134" s="296"/>
      <c r="E134" s="296"/>
      <c r="F134" s="296"/>
      <c r="G134" s="296"/>
      <c r="H134" s="296"/>
      <c r="I134" s="296"/>
      <c r="J134" s="296"/>
      <c r="K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</row>
    <row r="135" spans="1:38" ht="24.9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38" ht="24.95" customHeight="1">
      <c r="A136" s="2" t="s">
        <v>61</v>
      </c>
      <c r="B136" s="2"/>
      <c r="C136" s="2" t="s">
        <v>83</v>
      </c>
      <c r="D136" s="2"/>
      <c r="E136" s="2"/>
      <c r="F136" s="2"/>
      <c r="G136" s="2"/>
      <c r="H136" s="2"/>
      <c r="I136" s="2"/>
      <c r="J136" s="2"/>
      <c r="K136" s="2"/>
      <c r="O136" s="2" t="s">
        <v>61</v>
      </c>
      <c r="P136" s="2"/>
      <c r="Q136" s="2" t="s">
        <v>83</v>
      </c>
      <c r="R136" s="2"/>
      <c r="S136" s="2"/>
      <c r="T136" s="2"/>
      <c r="U136" s="2"/>
      <c r="V136" s="2"/>
      <c r="W136" s="2"/>
      <c r="X136" s="2"/>
      <c r="AC136" t="s">
        <v>61</v>
      </c>
      <c r="AE136" t="s">
        <v>83</v>
      </c>
    </row>
    <row r="137" spans="1:38" ht="24.95" customHeight="1">
      <c r="A137" s="1"/>
      <c r="E137" s="1"/>
      <c r="O137" s="1"/>
      <c r="S137" s="1"/>
      <c r="AC137" s="1"/>
      <c r="AG137" s="1"/>
    </row>
    <row r="138" spans="1:38" ht="24.95" customHeight="1">
      <c r="A138" s="297" t="s">
        <v>4</v>
      </c>
      <c r="B138" s="298" t="s">
        <v>63</v>
      </c>
      <c r="C138" s="298" t="s">
        <v>12</v>
      </c>
      <c r="D138" s="298" t="s">
        <v>13</v>
      </c>
      <c r="E138" s="298" t="s">
        <v>14</v>
      </c>
      <c r="F138" s="299" t="s">
        <v>64</v>
      </c>
      <c r="G138" s="299" t="s">
        <v>8</v>
      </c>
      <c r="H138" s="299" t="s">
        <v>9</v>
      </c>
      <c r="I138" s="299" t="s">
        <v>10</v>
      </c>
      <c r="J138" s="330" t="s">
        <v>11</v>
      </c>
      <c r="K138" s="611" t="s">
        <v>102</v>
      </c>
      <c r="O138" s="297" t="s">
        <v>4</v>
      </c>
      <c r="P138" s="298" t="s">
        <v>63</v>
      </c>
      <c r="Q138" s="298" t="s">
        <v>12</v>
      </c>
      <c r="R138" s="298" t="s">
        <v>13</v>
      </c>
      <c r="S138" s="298" t="s">
        <v>14</v>
      </c>
      <c r="T138" s="299" t="s">
        <v>64</v>
      </c>
      <c r="U138" s="299" t="s">
        <v>8</v>
      </c>
      <c r="V138" s="299" t="s">
        <v>9</v>
      </c>
      <c r="W138" s="299" t="s">
        <v>10</v>
      </c>
      <c r="X138" s="330" t="s">
        <v>11</v>
      </c>
      <c r="Z138" s="357" t="s">
        <v>103</v>
      </c>
      <c r="AC138" s="297" t="s">
        <v>4</v>
      </c>
      <c r="AD138" s="298" t="s">
        <v>63</v>
      </c>
      <c r="AE138" s="298" t="s">
        <v>12</v>
      </c>
      <c r="AF138" s="298" t="s">
        <v>13</v>
      </c>
      <c r="AG138" s="298" t="s">
        <v>14</v>
      </c>
      <c r="AH138" s="299" t="s">
        <v>64</v>
      </c>
      <c r="AI138" s="299" t="s">
        <v>8</v>
      </c>
      <c r="AJ138" s="299" t="s">
        <v>9</v>
      </c>
      <c r="AK138" s="299" t="s">
        <v>10</v>
      </c>
      <c r="AL138" s="330" t="s">
        <v>11</v>
      </c>
    </row>
    <row r="139" spans="1:38" ht="24.95" customHeight="1">
      <c r="A139" s="300">
        <v>1</v>
      </c>
      <c r="B139" s="301">
        <v>2</v>
      </c>
      <c r="C139" s="301">
        <v>3</v>
      </c>
      <c r="D139" s="301">
        <v>4</v>
      </c>
      <c r="E139" s="301">
        <v>5</v>
      </c>
      <c r="F139" s="301">
        <v>6</v>
      </c>
      <c r="G139" s="301">
        <v>7</v>
      </c>
      <c r="H139" s="301">
        <v>8</v>
      </c>
      <c r="I139" s="301">
        <v>9</v>
      </c>
      <c r="J139" s="333">
        <v>10</v>
      </c>
      <c r="K139" s="334" t="s">
        <v>12</v>
      </c>
      <c r="L139" s="1" t="s">
        <v>13</v>
      </c>
      <c r="M139" s="1" t="s">
        <v>14</v>
      </c>
      <c r="N139" s="1" t="s">
        <v>65</v>
      </c>
      <c r="O139" s="300">
        <v>1</v>
      </c>
      <c r="P139" s="301">
        <v>2</v>
      </c>
      <c r="Q139" s="301">
        <v>3</v>
      </c>
      <c r="R139" s="301">
        <v>4</v>
      </c>
      <c r="S139" s="301">
        <v>5</v>
      </c>
      <c r="T139" s="301">
        <v>6</v>
      </c>
      <c r="U139" s="301">
        <v>7</v>
      </c>
      <c r="V139" s="301">
        <v>8</v>
      </c>
      <c r="W139" s="301">
        <v>9</v>
      </c>
      <c r="X139" s="333">
        <v>10</v>
      </c>
      <c r="Y139" t="s">
        <v>94</v>
      </c>
      <c r="Z139" t="s">
        <v>95</v>
      </c>
      <c r="AA139" t="s">
        <v>96</v>
      </c>
      <c r="AB139" t="s">
        <v>97</v>
      </c>
      <c r="AC139" s="300">
        <v>1</v>
      </c>
      <c r="AD139" s="301">
        <v>2</v>
      </c>
      <c r="AE139" s="301">
        <v>3</v>
      </c>
      <c r="AF139" s="301">
        <v>4</v>
      </c>
      <c r="AG139" s="301">
        <v>5</v>
      </c>
      <c r="AH139" s="301">
        <v>6</v>
      </c>
      <c r="AI139" s="301">
        <v>7</v>
      </c>
      <c r="AJ139" s="301">
        <v>8</v>
      </c>
      <c r="AK139" s="301">
        <v>9</v>
      </c>
      <c r="AL139" s="333">
        <v>10</v>
      </c>
    </row>
    <row r="140" spans="1:38" ht="24.95" customHeight="1">
      <c r="A140" s="134">
        <v>1</v>
      </c>
      <c r="B140" s="614" t="s">
        <v>82</v>
      </c>
      <c r="C140" s="123">
        <f>0+2+2</f>
        <v>4</v>
      </c>
      <c r="D140" s="123">
        <v>32</v>
      </c>
      <c r="E140" s="123">
        <f>57-7</f>
        <v>50</v>
      </c>
      <c r="F140" s="123">
        <f>E140+D140+C140</f>
        <v>86</v>
      </c>
      <c r="G140" s="328">
        <f t="shared" ref="G140:G146" si="69">H140/1000*D140</f>
        <v>12.8</v>
      </c>
      <c r="H140" s="123">
        <v>400</v>
      </c>
      <c r="I140" s="123">
        <f>100-3</f>
        <v>97</v>
      </c>
      <c r="J140" s="398">
        <f>F140-T140</f>
        <v>-7</v>
      </c>
      <c r="K140" s="337">
        <f>C140-Q140</f>
        <v>2</v>
      </c>
      <c r="L140" s="337">
        <f t="shared" ref="L140:M149" si="70">D140-R140</f>
        <v>0</v>
      </c>
      <c r="M140" s="337">
        <f t="shared" si="70"/>
        <v>-9</v>
      </c>
      <c r="N140" s="337">
        <f>I140-W140</f>
        <v>-3</v>
      </c>
      <c r="O140" s="134">
        <v>1</v>
      </c>
      <c r="P140" s="338" t="s">
        <v>82</v>
      </c>
      <c r="Q140" s="123">
        <f>0+2</f>
        <v>2</v>
      </c>
      <c r="R140" s="123">
        <v>32</v>
      </c>
      <c r="S140" s="123">
        <f>61-2</f>
        <v>59</v>
      </c>
      <c r="T140" s="123">
        <f>S140+R140+Q140</f>
        <v>93</v>
      </c>
      <c r="U140" s="328">
        <f t="shared" ref="U140:U146" si="71">V140/1000*R140</f>
        <v>12.8</v>
      </c>
      <c r="V140" s="123">
        <v>400</v>
      </c>
      <c r="W140" s="123">
        <v>100</v>
      </c>
      <c r="X140" s="398"/>
      <c r="Y140" s="273" t="s">
        <v>111</v>
      </c>
      <c r="Z140" s="273">
        <f t="shared" ref="Z140:Z149" si="72">R140-AF140</f>
        <v>0</v>
      </c>
      <c r="AA140" s="273">
        <f t="shared" ref="AA140:AA149" si="73">S140-AG140</f>
        <v>-2</v>
      </c>
      <c r="AB140" s="273"/>
      <c r="AC140" s="134">
        <v>1</v>
      </c>
      <c r="AD140" s="17" t="s">
        <v>82</v>
      </c>
      <c r="AE140" s="123" t="s">
        <v>20</v>
      </c>
      <c r="AF140" s="123">
        <v>32</v>
      </c>
      <c r="AG140" s="123">
        <f>66-5</f>
        <v>61</v>
      </c>
      <c r="AH140" s="123">
        <f>AG140+AF140</f>
        <v>93</v>
      </c>
      <c r="AI140" s="328">
        <f t="shared" ref="AI140:AI146" si="74">AJ140/1000*AF140</f>
        <v>12.8</v>
      </c>
      <c r="AJ140" s="123">
        <v>400</v>
      </c>
      <c r="AK140" s="123">
        <v>100</v>
      </c>
      <c r="AL140" s="398"/>
    </row>
    <row r="141" spans="1:38" ht="24.95" customHeight="1">
      <c r="A141" s="374">
        <v>2</v>
      </c>
      <c r="B141" s="375" t="s">
        <v>67</v>
      </c>
      <c r="C141" s="123">
        <v>0.4</v>
      </c>
      <c r="D141" s="123">
        <f>8-2</f>
        <v>6</v>
      </c>
      <c r="E141" s="123">
        <f>14+2-4</f>
        <v>12</v>
      </c>
      <c r="F141" s="123">
        <f t="shared" ref="F141:F142" si="75">E141+D141+C141</f>
        <v>18.399999999999999</v>
      </c>
      <c r="G141" s="328">
        <f t="shared" si="69"/>
        <v>2.4000000000000004</v>
      </c>
      <c r="H141" s="123">
        <v>400</v>
      </c>
      <c r="I141" s="123">
        <f>80-2</f>
        <v>78</v>
      </c>
      <c r="J141" s="398">
        <f t="shared" ref="J141:J149" si="76">F141-T141</f>
        <v>0</v>
      </c>
      <c r="K141" s="337">
        <f t="shared" ref="K141:K149" si="77">C141-Q141</f>
        <v>0</v>
      </c>
      <c r="L141" s="337">
        <f t="shared" si="70"/>
        <v>0</v>
      </c>
      <c r="M141" s="337">
        <f t="shared" si="70"/>
        <v>0</v>
      </c>
      <c r="N141" s="337">
        <f t="shared" ref="N141:N149" si="78">I141-W141</f>
        <v>0</v>
      </c>
      <c r="O141" s="374">
        <v>2</v>
      </c>
      <c r="P141" s="339" t="s">
        <v>67</v>
      </c>
      <c r="Q141" s="123">
        <v>0.4</v>
      </c>
      <c r="R141" s="123">
        <f>8-2</f>
        <v>6</v>
      </c>
      <c r="S141" s="123">
        <f>14+2-4</f>
        <v>12</v>
      </c>
      <c r="T141" s="123">
        <f t="shared" ref="T141:T142" si="79">S141+R141+Q141</f>
        <v>18.399999999999999</v>
      </c>
      <c r="U141" s="328">
        <f t="shared" si="71"/>
        <v>2.4000000000000004</v>
      </c>
      <c r="V141" s="123">
        <v>400</v>
      </c>
      <c r="W141" s="123">
        <f>80-2</f>
        <v>78</v>
      </c>
      <c r="X141" s="398"/>
      <c r="Y141" s="273">
        <f t="shared" ref="Y141:Y149" si="80">Q141-AE141</f>
        <v>0</v>
      </c>
      <c r="Z141" s="273">
        <f t="shared" si="72"/>
        <v>-2</v>
      </c>
      <c r="AA141" s="273">
        <f t="shared" si="73"/>
        <v>-2</v>
      </c>
      <c r="AC141" s="374">
        <v>2</v>
      </c>
      <c r="AD141" s="23" t="s">
        <v>67</v>
      </c>
      <c r="AE141" s="123">
        <v>0.4</v>
      </c>
      <c r="AF141" s="123">
        <v>8</v>
      </c>
      <c r="AG141" s="123">
        <v>14</v>
      </c>
      <c r="AH141" s="123">
        <f t="shared" ref="AH141:AH142" si="81">AG141+AF141+AE141</f>
        <v>22.4</v>
      </c>
      <c r="AI141" s="328">
        <f t="shared" si="74"/>
        <v>3.2</v>
      </c>
      <c r="AJ141" s="123">
        <v>400</v>
      </c>
      <c r="AK141" s="123">
        <v>80</v>
      </c>
      <c r="AL141" s="398"/>
    </row>
    <row r="142" spans="1:38" ht="24.95" customHeight="1">
      <c r="A142" s="374">
        <v>3</v>
      </c>
      <c r="B142" s="310" t="s">
        <v>68</v>
      </c>
      <c r="C142" s="123">
        <v>4</v>
      </c>
      <c r="D142" s="123">
        <v>9</v>
      </c>
      <c r="E142" s="123">
        <v>10</v>
      </c>
      <c r="F142" s="123">
        <f t="shared" si="75"/>
        <v>23</v>
      </c>
      <c r="G142" s="328">
        <f t="shared" si="69"/>
        <v>3.6</v>
      </c>
      <c r="H142" s="123">
        <v>400</v>
      </c>
      <c r="I142" s="123">
        <v>85</v>
      </c>
      <c r="J142" s="398">
        <f t="shared" si="76"/>
        <v>0</v>
      </c>
      <c r="K142" s="337">
        <f t="shared" si="77"/>
        <v>0</v>
      </c>
      <c r="L142" s="337">
        <f t="shared" si="70"/>
        <v>0</v>
      </c>
      <c r="M142" s="337">
        <f t="shared" si="70"/>
        <v>0</v>
      </c>
      <c r="N142" s="337">
        <f t="shared" si="78"/>
        <v>0</v>
      </c>
      <c r="O142" s="374">
        <v>3</v>
      </c>
      <c r="P142" s="310" t="s">
        <v>68</v>
      </c>
      <c r="Q142" s="123">
        <v>4</v>
      </c>
      <c r="R142" s="123">
        <v>9</v>
      </c>
      <c r="S142" s="123">
        <v>10</v>
      </c>
      <c r="T142" s="123">
        <f t="shared" si="79"/>
        <v>23</v>
      </c>
      <c r="U142" s="328">
        <f t="shared" si="71"/>
        <v>3.6</v>
      </c>
      <c r="V142" s="123">
        <v>400</v>
      </c>
      <c r="W142" s="123">
        <v>85</v>
      </c>
      <c r="X142" s="398"/>
      <c r="Y142" s="273">
        <f t="shared" si="80"/>
        <v>0</v>
      </c>
      <c r="Z142" s="273">
        <f t="shared" si="72"/>
        <v>0</v>
      </c>
      <c r="AA142" s="273">
        <f t="shared" si="73"/>
        <v>0</v>
      </c>
      <c r="AB142" s="273"/>
      <c r="AC142" s="374">
        <v>3</v>
      </c>
      <c r="AD142" s="27" t="s">
        <v>68</v>
      </c>
      <c r="AE142" s="123">
        <v>4</v>
      </c>
      <c r="AF142" s="123">
        <v>9</v>
      </c>
      <c r="AG142" s="123">
        <v>10</v>
      </c>
      <c r="AH142" s="123">
        <f t="shared" si="81"/>
        <v>23</v>
      </c>
      <c r="AI142" s="328">
        <f t="shared" si="74"/>
        <v>3.6</v>
      </c>
      <c r="AJ142" s="123">
        <v>400</v>
      </c>
      <c r="AK142" s="123">
        <v>85</v>
      </c>
      <c r="AL142" s="398"/>
    </row>
    <row r="143" spans="1:38" ht="24.95" customHeight="1">
      <c r="A143" s="374">
        <v>4</v>
      </c>
      <c r="B143" s="610" t="s">
        <v>69</v>
      </c>
      <c r="C143" s="123">
        <f>1-1</f>
        <v>0</v>
      </c>
      <c r="D143" s="123">
        <f>20-4</f>
        <v>16</v>
      </c>
      <c r="E143" s="123">
        <f>4+4-2</f>
        <v>6</v>
      </c>
      <c r="F143" s="123">
        <f>C143+D143+E143</f>
        <v>22</v>
      </c>
      <c r="G143" s="328">
        <f t="shared" si="69"/>
        <v>6.4</v>
      </c>
      <c r="H143" s="123">
        <v>400</v>
      </c>
      <c r="I143" s="123">
        <f>215-1</f>
        <v>214</v>
      </c>
      <c r="J143" s="398">
        <f t="shared" si="76"/>
        <v>-2</v>
      </c>
      <c r="K143" s="337">
        <f t="shared" si="77"/>
        <v>0</v>
      </c>
      <c r="L143" s="337">
        <f t="shared" si="70"/>
        <v>-4</v>
      </c>
      <c r="M143" s="337">
        <f t="shared" si="70"/>
        <v>2</v>
      </c>
      <c r="N143" s="337">
        <f t="shared" si="78"/>
        <v>-1</v>
      </c>
      <c r="O143" s="374">
        <v>4</v>
      </c>
      <c r="P143" s="340" t="s">
        <v>69</v>
      </c>
      <c r="Q143" s="123">
        <f>1-1</f>
        <v>0</v>
      </c>
      <c r="R143" s="123">
        <f>40+1-21</f>
        <v>20</v>
      </c>
      <c r="S143" s="123">
        <f>41+21-58</f>
        <v>4</v>
      </c>
      <c r="T143" s="123">
        <f>Q143+R143+S143</f>
        <v>24</v>
      </c>
      <c r="U143" s="328">
        <f t="shared" si="71"/>
        <v>8</v>
      </c>
      <c r="V143" s="123">
        <v>400</v>
      </c>
      <c r="W143" s="123">
        <f>234-2-17</f>
        <v>215</v>
      </c>
      <c r="X143" s="398">
        <f>T143-AH143</f>
        <v>-60</v>
      </c>
      <c r="Y143" s="273">
        <f t="shared" si="80"/>
        <v>-1</v>
      </c>
      <c r="Z143" s="273">
        <f t="shared" si="72"/>
        <v>-23</v>
      </c>
      <c r="AA143" s="273">
        <f t="shared" si="73"/>
        <v>-36</v>
      </c>
      <c r="AB143" s="273">
        <f>W143-AK143</f>
        <v>-20</v>
      </c>
      <c r="AC143" s="374">
        <v>4</v>
      </c>
      <c r="AD143" s="27" t="s">
        <v>69</v>
      </c>
      <c r="AE143" s="123">
        <v>1</v>
      </c>
      <c r="AF143" s="123">
        <v>43</v>
      </c>
      <c r="AG143" s="123">
        <f>41-1</f>
        <v>40</v>
      </c>
      <c r="AH143" s="123">
        <f>AE143+AF143+AG143</f>
        <v>84</v>
      </c>
      <c r="AI143" s="328">
        <f t="shared" si="74"/>
        <v>17.2</v>
      </c>
      <c r="AJ143" s="123">
        <v>400</v>
      </c>
      <c r="AK143" s="123">
        <v>235</v>
      </c>
      <c r="AL143" s="398"/>
    </row>
    <row r="144" spans="1:38" ht="24.95" customHeight="1">
      <c r="A144" s="374">
        <v>5</v>
      </c>
      <c r="B144" s="609" t="s">
        <v>70</v>
      </c>
      <c r="C144" s="123">
        <f>15-2</f>
        <v>13</v>
      </c>
      <c r="D144" s="123">
        <f>33+2</f>
        <v>35</v>
      </c>
      <c r="E144" s="123">
        <f>42</f>
        <v>42</v>
      </c>
      <c r="F144" s="123">
        <f>E144+D144+C144</f>
        <v>90</v>
      </c>
      <c r="G144" s="328">
        <f t="shared" si="69"/>
        <v>14</v>
      </c>
      <c r="H144" s="123">
        <v>400</v>
      </c>
      <c r="I144" s="123">
        <f>376-6</f>
        <v>370</v>
      </c>
      <c r="J144" s="398">
        <f t="shared" si="76"/>
        <v>0</v>
      </c>
      <c r="K144" s="337">
        <f t="shared" si="77"/>
        <v>0</v>
      </c>
      <c r="L144" s="337">
        <f t="shared" si="70"/>
        <v>0</v>
      </c>
      <c r="M144" s="337">
        <f t="shared" si="70"/>
        <v>0</v>
      </c>
      <c r="N144" s="337">
        <f t="shared" si="78"/>
        <v>0</v>
      </c>
      <c r="O144" s="374">
        <v>5</v>
      </c>
      <c r="P144" s="341" t="s">
        <v>70</v>
      </c>
      <c r="Q144" s="123">
        <f>15-2</f>
        <v>13</v>
      </c>
      <c r="R144" s="123">
        <f>33+2</f>
        <v>35</v>
      </c>
      <c r="S144" s="123">
        <f>42</f>
        <v>42</v>
      </c>
      <c r="T144" s="123">
        <f>S144+R144+Q144</f>
        <v>90</v>
      </c>
      <c r="U144" s="328">
        <f t="shared" si="71"/>
        <v>14</v>
      </c>
      <c r="V144" s="123">
        <v>400</v>
      </c>
      <c r="W144" s="123">
        <f>376-6</f>
        <v>370</v>
      </c>
      <c r="X144" s="347"/>
      <c r="Y144" s="273">
        <f t="shared" si="80"/>
        <v>-2</v>
      </c>
      <c r="Z144" s="273">
        <f t="shared" si="72"/>
        <v>2</v>
      </c>
      <c r="AA144" s="273">
        <f t="shared" si="73"/>
        <v>-32</v>
      </c>
      <c r="AB144" s="273">
        <f t="shared" ref="AB144:AB149" si="82">W144-AK144</f>
        <v>-12</v>
      </c>
      <c r="AC144" s="374">
        <v>5</v>
      </c>
      <c r="AD144" s="32" t="s">
        <v>70</v>
      </c>
      <c r="AE144" s="123">
        <v>15</v>
      </c>
      <c r="AF144" s="123">
        <v>33</v>
      </c>
      <c r="AG144" s="123">
        <v>74</v>
      </c>
      <c r="AH144" s="123">
        <f>AG144+AF144+AE144</f>
        <v>122</v>
      </c>
      <c r="AI144" s="328">
        <f t="shared" si="74"/>
        <v>13.200000000000001</v>
      </c>
      <c r="AJ144" s="123">
        <v>400</v>
      </c>
      <c r="AK144" s="123">
        <v>382</v>
      </c>
      <c r="AL144" s="347"/>
    </row>
    <row r="145" spans="1:38" ht="24.95" customHeight="1">
      <c r="A145" s="374">
        <v>6</v>
      </c>
      <c r="B145" s="610" t="s">
        <v>71</v>
      </c>
      <c r="C145" s="123">
        <f>31+6</f>
        <v>37</v>
      </c>
      <c r="D145" s="123">
        <f>154-2</f>
        <v>152</v>
      </c>
      <c r="E145" s="123">
        <f>97-6+2</f>
        <v>93</v>
      </c>
      <c r="F145" s="123">
        <f t="shared" ref="F145" si="83">E145+D145+C145</f>
        <v>282</v>
      </c>
      <c r="G145" s="328">
        <f t="shared" si="69"/>
        <v>60.800000000000004</v>
      </c>
      <c r="H145" s="123">
        <v>400</v>
      </c>
      <c r="I145" s="123">
        <f>117-1</f>
        <v>116</v>
      </c>
      <c r="J145" s="398">
        <f t="shared" si="76"/>
        <v>0</v>
      </c>
      <c r="K145" s="337">
        <f t="shared" si="77"/>
        <v>6</v>
      </c>
      <c r="L145" s="337">
        <f t="shared" si="70"/>
        <v>-2</v>
      </c>
      <c r="M145" s="337">
        <f t="shared" si="70"/>
        <v>-4</v>
      </c>
      <c r="N145" s="337">
        <f t="shared" si="78"/>
        <v>0</v>
      </c>
      <c r="O145" s="374">
        <v>6</v>
      </c>
      <c r="P145" s="340" t="s">
        <v>71</v>
      </c>
      <c r="Q145" s="123">
        <f>29+2</f>
        <v>31</v>
      </c>
      <c r="R145" s="123">
        <f>158-4</f>
        <v>154</v>
      </c>
      <c r="S145" s="123">
        <f>95+4-2</f>
        <v>97</v>
      </c>
      <c r="T145" s="123">
        <f t="shared" ref="T145" si="84">S145+R145+Q145</f>
        <v>282</v>
      </c>
      <c r="U145" s="328">
        <f t="shared" si="71"/>
        <v>61.6</v>
      </c>
      <c r="V145" s="123">
        <v>400</v>
      </c>
      <c r="W145" s="123">
        <f>117-1</f>
        <v>116</v>
      </c>
      <c r="X145" s="398">
        <f>T145-AH145</f>
        <v>-2</v>
      </c>
      <c r="Y145" s="273">
        <f t="shared" si="80"/>
        <v>6</v>
      </c>
      <c r="Z145" s="273">
        <f t="shared" si="72"/>
        <v>-10</v>
      </c>
      <c r="AA145" s="273">
        <f t="shared" si="73"/>
        <v>2</v>
      </c>
      <c r="AB145" s="273">
        <f t="shared" si="82"/>
        <v>-1</v>
      </c>
      <c r="AC145" s="374">
        <v>6</v>
      </c>
      <c r="AD145" s="27" t="s">
        <v>71</v>
      </c>
      <c r="AE145" s="123">
        <f>27-2</f>
        <v>25</v>
      </c>
      <c r="AF145" s="123">
        <f>162+2</f>
        <v>164</v>
      </c>
      <c r="AG145" s="123">
        <f>95</f>
        <v>95</v>
      </c>
      <c r="AH145" s="123">
        <f t="shared" ref="AH145" si="85">AG145+AF145+AE145</f>
        <v>284</v>
      </c>
      <c r="AI145" s="328">
        <f t="shared" si="74"/>
        <v>65.600000000000009</v>
      </c>
      <c r="AJ145" s="123">
        <v>400</v>
      </c>
      <c r="AK145" s="123">
        <v>117</v>
      </c>
      <c r="AL145" s="398"/>
    </row>
    <row r="146" spans="1:38" ht="24.95" customHeight="1">
      <c r="A146" s="374">
        <v>7</v>
      </c>
      <c r="B146" s="610" t="s">
        <v>72</v>
      </c>
      <c r="C146" s="123">
        <v>10</v>
      </c>
      <c r="D146" s="123">
        <f>28-4</f>
        <v>24</v>
      </c>
      <c r="E146" s="123">
        <f>1+4-4</f>
        <v>1</v>
      </c>
      <c r="F146" s="123">
        <f>D146+C146+E146</f>
        <v>35</v>
      </c>
      <c r="G146" s="328">
        <f t="shared" si="69"/>
        <v>9.6000000000000014</v>
      </c>
      <c r="H146" s="123">
        <v>400</v>
      </c>
      <c r="I146" s="123">
        <f>103-2</f>
        <v>101</v>
      </c>
      <c r="J146" s="398">
        <f t="shared" si="76"/>
        <v>0</v>
      </c>
      <c r="K146" s="337">
        <f t="shared" si="77"/>
        <v>0</v>
      </c>
      <c r="L146" s="337">
        <f t="shared" si="70"/>
        <v>0</v>
      </c>
      <c r="M146" s="337">
        <f>E146-S146</f>
        <v>0</v>
      </c>
      <c r="N146" s="337">
        <f t="shared" si="78"/>
        <v>0</v>
      </c>
      <c r="O146" s="374">
        <v>7</v>
      </c>
      <c r="P146" s="340" t="s">
        <v>72</v>
      </c>
      <c r="Q146" s="123">
        <v>10</v>
      </c>
      <c r="R146" s="123">
        <f>28-4</f>
        <v>24</v>
      </c>
      <c r="S146" s="123">
        <f>1+4-4</f>
        <v>1</v>
      </c>
      <c r="T146" s="123">
        <f>R146+Q146+S146</f>
        <v>35</v>
      </c>
      <c r="U146" s="328">
        <f t="shared" si="71"/>
        <v>9.6000000000000014</v>
      </c>
      <c r="V146" s="123">
        <v>400</v>
      </c>
      <c r="W146" s="123">
        <f>103-2</f>
        <v>101</v>
      </c>
      <c r="X146" s="347"/>
      <c r="Y146" s="273">
        <f t="shared" si="80"/>
        <v>0</v>
      </c>
      <c r="Z146" s="273">
        <f t="shared" si="72"/>
        <v>-5</v>
      </c>
      <c r="AA146" s="273"/>
      <c r="AB146" s="273">
        <f t="shared" si="82"/>
        <v>-2</v>
      </c>
      <c r="AC146" s="374">
        <v>7</v>
      </c>
      <c r="AD146" s="27" t="s">
        <v>72</v>
      </c>
      <c r="AE146" s="123">
        <v>10</v>
      </c>
      <c r="AF146" s="123">
        <v>29</v>
      </c>
      <c r="AG146" s="123" t="s">
        <v>20</v>
      </c>
      <c r="AH146" s="123">
        <f>AF146+AE146</f>
        <v>39</v>
      </c>
      <c r="AI146" s="328">
        <f t="shared" si="74"/>
        <v>11.600000000000001</v>
      </c>
      <c r="AJ146" s="123">
        <v>400</v>
      </c>
      <c r="AK146" s="123">
        <v>103</v>
      </c>
      <c r="AL146" s="347"/>
    </row>
    <row r="147" spans="1:38" ht="24.95" customHeight="1">
      <c r="A147" s="374">
        <v>8</v>
      </c>
      <c r="B147" s="310" t="s">
        <v>73</v>
      </c>
      <c r="C147" s="123">
        <v>0</v>
      </c>
      <c r="D147" s="123">
        <v>0</v>
      </c>
      <c r="E147" s="123">
        <v>0</v>
      </c>
      <c r="F147" s="123">
        <v>0</v>
      </c>
      <c r="G147" s="328">
        <v>0</v>
      </c>
      <c r="H147" s="123">
        <v>0</v>
      </c>
      <c r="I147" s="123">
        <v>0</v>
      </c>
      <c r="J147" s="398"/>
      <c r="K147" s="337"/>
      <c r="L147" s="337"/>
      <c r="M147" s="337"/>
      <c r="N147" s="337"/>
      <c r="O147" s="374">
        <v>8</v>
      </c>
      <c r="P147" s="310" t="s">
        <v>73</v>
      </c>
      <c r="Q147" s="123">
        <v>0</v>
      </c>
      <c r="R147" s="123">
        <v>0</v>
      </c>
      <c r="S147" s="123">
        <v>0</v>
      </c>
      <c r="T147" s="123">
        <v>0</v>
      </c>
      <c r="U147" s="123">
        <v>0</v>
      </c>
      <c r="V147" s="123">
        <v>0</v>
      </c>
      <c r="W147" s="123">
        <v>0</v>
      </c>
      <c r="X147" s="347"/>
      <c r="Y147" s="273"/>
      <c r="Z147" s="273"/>
      <c r="AA147" s="273"/>
      <c r="AB147" s="273"/>
      <c r="AC147" s="374">
        <v>8</v>
      </c>
      <c r="AD147" s="27" t="s">
        <v>73</v>
      </c>
      <c r="AE147" s="123" t="s">
        <v>20</v>
      </c>
      <c r="AF147" s="123" t="s">
        <v>20</v>
      </c>
      <c r="AG147" s="123" t="s">
        <v>20</v>
      </c>
      <c r="AH147" s="123" t="s">
        <v>20</v>
      </c>
      <c r="AI147" s="328" t="s">
        <v>20</v>
      </c>
      <c r="AJ147" s="123" t="s">
        <v>20</v>
      </c>
      <c r="AK147" s="123" t="s">
        <v>20</v>
      </c>
      <c r="AL147" s="347"/>
    </row>
    <row r="148" spans="1:38" ht="24.95" customHeight="1">
      <c r="A148" s="374">
        <v>9</v>
      </c>
      <c r="B148" s="610" t="s">
        <v>74</v>
      </c>
      <c r="C148" s="123">
        <f>23+1</f>
        <v>24</v>
      </c>
      <c r="D148" s="123">
        <f>11</f>
        <v>11</v>
      </c>
      <c r="E148" s="123">
        <v>9</v>
      </c>
      <c r="F148" s="123">
        <f t="shared" ref="F148:F149" si="86">E148+D148+C148</f>
        <v>44</v>
      </c>
      <c r="G148" s="328">
        <f t="shared" ref="G148:G149" si="87">H148/1000*D148</f>
        <v>4.4000000000000004</v>
      </c>
      <c r="H148" s="123">
        <v>400</v>
      </c>
      <c r="I148" s="123">
        <f>55+1+1</f>
        <v>57</v>
      </c>
      <c r="J148" s="398">
        <f t="shared" si="76"/>
        <v>1</v>
      </c>
      <c r="K148" s="337">
        <f t="shared" si="77"/>
        <v>1</v>
      </c>
      <c r="L148" s="337">
        <f t="shared" si="70"/>
        <v>0</v>
      </c>
      <c r="M148" s="337">
        <f t="shared" si="70"/>
        <v>0</v>
      </c>
      <c r="N148" s="337">
        <f t="shared" si="78"/>
        <v>1</v>
      </c>
      <c r="O148" s="374">
        <v>9</v>
      </c>
      <c r="P148" s="340" t="s">
        <v>74</v>
      </c>
      <c r="Q148" s="123">
        <f>22+1</f>
        <v>23</v>
      </c>
      <c r="R148" s="123">
        <f>11</f>
        <v>11</v>
      </c>
      <c r="S148" s="123">
        <f>10-1</f>
        <v>9</v>
      </c>
      <c r="T148" s="123">
        <f t="shared" ref="T148:T149" si="88">S148+R148+Q148</f>
        <v>43</v>
      </c>
      <c r="U148" s="328">
        <f t="shared" ref="U148:U149" si="89">V148/1000*R148</f>
        <v>4.4000000000000004</v>
      </c>
      <c r="V148" s="123">
        <v>400</v>
      </c>
      <c r="W148" s="123">
        <f>55+1</f>
        <v>56</v>
      </c>
      <c r="X148" s="347">
        <f>T148-AH148</f>
        <v>6</v>
      </c>
      <c r="Y148" s="273">
        <f t="shared" si="80"/>
        <v>7</v>
      </c>
      <c r="Z148" s="273">
        <f t="shared" si="72"/>
        <v>1</v>
      </c>
      <c r="AA148" s="273">
        <f t="shared" si="73"/>
        <v>-2</v>
      </c>
      <c r="AB148" s="273">
        <f t="shared" si="82"/>
        <v>5</v>
      </c>
      <c r="AC148" s="374">
        <v>9</v>
      </c>
      <c r="AD148" s="27" t="s">
        <v>74</v>
      </c>
      <c r="AE148" s="123">
        <f>14+2</f>
        <v>16</v>
      </c>
      <c r="AF148" s="123">
        <v>10</v>
      </c>
      <c r="AG148" s="123">
        <v>11</v>
      </c>
      <c r="AH148" s="123">
        <f t="shared" ref="AH148:AH149" si="90">AG148+AF148+AE148</f>
        <v>37</v>
      </c>
      <c r="AI148" s="328">
        <f t="shared" ref="AI148:AI149" si="91">AJ148/1000*AF148</f>
        <v>4</v>
      </c>
      <c r="AJ148" s="123">
        <v>400</v>
      </c>
      <c r="AK148" s="123">
        <v>51</v>
      </c>
      <c r="AL148" s="347"/>
    </row>
    <row r="149" spans="1:38" ht="24.95" customHeight="1">
      <c r="A149" s="374">
        <v>10</v>
      </c>
      <c r="B149" s="555" t="s">
        <v>75</v>
      </c>
      <c r="C149" s="391">
        <f>27-2-1</f>
        <v>24</v>
      </c>
      <c r="D149" s="123">
        <f>12+2+1</f>
        <v>15</v>
      </c>
      <c r="E149" s="392">
        <f>3-1.8+0.2</f>
        <v>1.4</v>
      </c>
      <c r="F149" s="328">
        <f t="shared" si="86"/>
        <v>40.4</v>
      </c>
      <c r="G149" s="328">
        <f t="shared" si="87"/>
        <v>6</v>
      </c>
      <c r="H149" s="123">
        <v>400</v>
      </c>
      <c r="I149" s="123">
        <v>93</v>
      </c>
      <c r="J149" s="398">
        <f t="shared" si="76"/>
        <v>0</v>
      </c>
      <c r="K149" s="337">
        <f t="shared" si="77"/>
        <v>-1</v>
      </c>
      <c r="L149" s="337">
        <f t="shared" si="70"/>
        <v>1</v>
      </c>
      <c r="M149" s="337">
        <f t="shared" si="70"/>
        <v>0</v>
      </c>
      <c r="N149" s="337">
        <f t="shared" si="78"/>
        <v>0</v>
      </c>
      <c r="O149" s="374">
        <v>10</v>
      </c>
      <c r="P149" s="340" t="s">
        <v>75</v>
      </c>
      <c r="Q149" s="391">
        <f>27-2</f>
        <v>25</v>
      </c>
      <c r="R149" s="123">
        <f>12+2</f>
        <v>14</v>
      </c>
      <c r="S149" s="392">
        <f>3-1.8+0.2</f>
        <v>1.4</v>
      </c>
      <c r="T149" s="123">
        <f t="shared" si="88"/>
        <v>40.4</v>
      </c>
      <c r="U149" s="328">
        <f t="shared" si="89"/>
        <v>5.6000000000000005</v>
      </c>
      <c r="V149" s="123">
        <v>400</v>
      </c>
      <c r="W149" s="123">
        <v>93</v>
      </c>
      <c r="X149" s="347"/>
      <c r="Y149" s="372">
        <f t="shared" si="80"/>
        <v>-2.6000000000000014</v>
      </c>
      <c r="Z149" s="273">
        <f t="shared" si="72"/>
        <v>3</v>
      </c>
      <c r="AA149" s="372">
        <f t="shared" si="73"/>
        <v>0</v>
      </c>
      <c r="AB149" s="273">
        <f t="shared" si="82"/>
        <v>0</v>
      </c>
      <c r="AC149" s="374">
        <v>10</v>
      </c>
      <c r="AD149" s="27" t="s">
        <v>75</v>
      </c>
      <c r="AE149" s="392">
        <f>26+1.8-0.2</f>
        <v>27.6</v>
      </c>
      <c r="AF149" s="123">
        <v>11</v>
      </c>
      <c r="AG149" s="392">
        <f>3-1.8+0.2</f>
        <v>1.4</v>
      </c>
      <c r="AH149" s="123">
        <f t="shared" si="90"/>
        <v>40</v>
      </c>
      <c r="AI149" s="328">
        <f t="shared" si="91"/>
        <v>4.4000000000000004</v>
      </c>
      <c r="AJ149" s="123">
        <v>400</v>
      </c>
      <c r="AK149" s="123">
        <v>93</v>
      </c>
      <c r="AL149" s="347"/>
    </row>
    <row r="150" spans="1:38" ht="24.95" customHeight="1">
      <c r="A150" s="374">
        <v>11</v>
      </c>
      <c r="B150" s="368" t="s">
        <v>76</v>
      </c>
      <c r="C150" s="123">
        <v>0</v>
      </c>
      <c r="D150" s="123">
        <v>0</v>
      </c>
      <c r="E150" s="123">
        <v>0</v>
      </c>
      <c r="F150" s="123">
        <v>0</v>
      </c>
      <c r="G150" s="328">
        <v>0</v>
      </c>
      <c r="H150" s="123">
        <v>0</v>
      </c>
      <c r="I150" s="123">
        <v>0</v>
      </c>
      <c r="J150" s="398"/>
      <c r="K150" s="337"/>
      <c r="L150" s="337"/>
      <c r="M150" s="337"/>
      <c r="N150" s="337"/>
      <c r="O150" s="374">
        <v>11</v>
      </c>
      <c r="P150" s="368" t="s">
        <v>76</v>
      </c>
      <c r="Q150" s="123">
        <v>0</v>
      </c>
      <c r="R150" s="123">
        <v>0</v>
      </c>
      <c r="S150" s="123">
        <v>0</v>
      </c>
      <c r="T150" s="123">
        <v>0</v>
      </c>
      <c r="U150" s="123">
        <v>0</v>
      </c>
      <c r="V150" s="123">
        <v>0</v>
      </c>
      <c r="W150" s="123">
        <v>0</v>
      </c>
      <c r="X150" s="402"/>
      <c r="AB150" s="273"/>
      <c r="AC150" s="374">
        <v>11</v>
      </c>
      <c r="AD150" s="35" t="s">
        <v>76</v>
      </c>
      <c r="AE150" s="123" t="s">
        <v>20</v>
      </c>
      <c r="AF150" s="123" t="s">
        <v>20</v>
      </c>
      <c r="AG150" s="123" t="s">
        <v>20</v>
      </c>
      <c r="AH150" s="123" t="s">
        <v>20</v>
      </c>
      <c r="AI150" s="328" t="s">
        <v>20</v>
      </c>
      <c r="AJ150" s="123" t="s">
        <v>20</v>
      </c>
      <c r="AK150" s="123" t="s">
        <v>20</v>
      </c>
      <c r="AL150" s="402"/>
    </row>
    <row r="151" spans="1:38" ht="24.95" customHeight="1">
      <c r="A151" s="664" t="s">
        <v>77</v>
      </c>
      <c r="B151" s="665"/>
      <c r="C151" s="393">
        <f>SUM(C140:C150)</f>
        <v>116.4</v>
      </c>
      <c r="D151" s="370">
        <f>SUM(D140:D150)</f>
        <v>300</v>
      </c>
      <c r="E151" s="393">
        <f>SUM(E140:E150)</f>
        <v>224.4</v>
      </c>
      <c r="F151" s="370">
        <f>SUM(F140:F150)</f>
        <v>640.79999999999995</v>
      </c>
      <c r="G151" s="371">
        <f>SUM(G140:G150)</f>
        <v>120</v>
      </c>
      <c r="H151" s="317">
        <v>400</v>
      </c>
      <c r="I151" s="382">
        <f>SUM(I140:I150)</f>
        <v>1211</v>
      </c>
      <c r="J151" s="399">
        <f>SUM(J140:J150)</f>
        <v>-8</v>
      </c>
      <c r="K151" s="456">
        <f>SUM(K140:K149)</f>
        <v>8</v>
      </c>
      <c r="L151" s="400">
        <f t="shared" ref="L151:N151" si="92">SUM(L140:L149)</f>
        <v>-5</v>
      </c>
      <c r="M151" s="400">
        <f t="shared" si="92"/>
        <v>-11</v>
      </c>
      <c r="N151" s="400">
        <f t="shared" si="92"/>
        <v>-3</v>
      </c>
      <c r="O151" s="664" t="s">
        <v>77</v>
      </c>
      <c r="P151" s="665"/>
      <c r="Q151" s="393">
        <f>SUM(Q140:Q150)</f>
        <v>108.4</v>
      </c>
      <c r="R151" s="371">
        <f>SUM(R140:R150)</f>
        <v>305</v>
      </c>
      <c r="S151" s="393">
        <f>SUM(S140:S150)</f>
        <v>235.4</v>
      </c>
      <c r="T151" s="370">
        <f>SUM(T140:T150)</f>
        <v>648.79999999999995</v>
      </c>
      <c r="U151" s="371">
        <f>SUM(U140:U150)</f>
        <v>122</v>
      </c>
      <c r="V151" s="317">
        <v>400</v>
      </c>
      <c r="W151" s="382">
        <f>SUM(W140:W150)</f>
        <v>1214</v>
      </c>
      <c r="X151" s="399">
        <f>SUM(X143:X148)</f>
        <v>-56</v>
      </c>
      <c r="Y151" s="273">
        <f>SUM(Y140:Y149)</f>
        <v>7.3999999999999986</v>
      </c>
      <c r="Z151" s="273">
        <f t="shared" ref="Z151:AB151" si="93">SUM(Z140:Z149)</f>
        <v>-34</v>
      </c>
      <c r="AA151" s="273">
        <f t="shared" si="93"/>
        <v>-72</v>
      </c>
      <c r="AB151" s="273">
        <f t="shared" si="93"/>
        <v>-30</v>
      </c>
      <c r="AC151" s="664" t="s">
        <v>77</v>
      </c>
      <c r="AD151" s="665"/>
      <c r="AE151" s="384">
        <f>SUM(AE140:AE150)</f>
        <v>99</v>
      </c>
      <c r="AF151" s="317">
        <f>SUM(AF140:AF150)</f>
        <v>339</v>
      </c>
      <c r="AG151" s="384">
        <f>SUM(AG140:AG150)</f>
        <v>306.39999999999998</v>
      </c>
      <c r="AH151" s="317">
        <f>SUM(AH140:AH150)</f>
        <v>744.4</v>
      </c>
      <c r="AI151" s="371">
        <f>SUM(AI140:AI150)</f>
        <v>135.60000000000002</v>
      </c>
      <c r="AJ151" s="317">
        <v>400</v>
      </c>
      <c r="AK151" s="382">
        <f>SUM(AK140:AK150)</f>
        <v>1246</v>
      </c>
      <c r="AL151" s="399"/>
    </row>
    <row r="152" spans="1:38" ht="24.95" customHeight="1">
      <c r="C152" s="292">
        <f>C151-Q151</f>
        <v>8</v>
      </c>
      <c r="D152" s="292">
        <f t="shared" ref="D152:I152" si="94">D151-R151</f>
        <v>-5</v>
      </c>
      <c r="E152" s="292">
        <f t="shared" si="94"/>
        <v>-11</v>
      </c>
      <c r="F152" s="292">
        <f t="shared" si="94"/>
        <v>-8</v>
      </c>
      <c r="G152" s="292">
        <f t="shared" si="94"/>
        <v>-2</v>
      </c>
      <c r="H152" s="292">
        <f t="shared" si="94"/>
        <v>0</v>
      </c>
      <c r="I152" s="292">
        <f t="shared" si="94"/>
        <v>-3</v>
      </c>
      <c r="Q152" s="276">
        <f t="shared" ref="Q152:W152" si="95">Q151-AE151</f>
        <v>9.4000000000000057</v>
      </c>
      <c r="R152" s="276">
        <f t="shared" si="95"/>
        <v>-34</v>
      </c>
      <c r="S152" s="276">
        <f t="shared" si="95"/>
        <v>-70.999999999999972</v>
      </c>
      <c r="T152" s="276">
        <f t="shared" si="95"/>
        <v>-95.600000000000023</v>
      </c>
      <c r="U152" s="276">
        <f t="shared" si="95"/>
        <v>-13.600000000000023</v>
      </c>
      <c r="V152" s="276">
        <f t="shared" si="95"/>
        <v>0</v>
      </c>
      <c r="W152" s="276">
        <f t="shared" si="95"/>
        <v>-32</v>
      </c>
    </row>
    <row r="153" spans="1:38" ht="24.95" customHeight="1">
      <c r="B153" s="6" t="s">
        <v>12</v>
      </c>
      <c r="C153" s="566" t="s">
        <v>33</v>
      </c>
      <c r="D153" s="2"/>
      <c r="F153" s="118"/>
      <c r="G153" s="1"/>
      <c r="L153">
        <v>12.8</v>
      </c>
      <c r="P153" s="6" t="s">
        <v>12</v>
      </c>
      <c r="Q153" s="320" t="s">
        <v>33</v>
      </c>
      <c r="R153" s="2"/>
      <c r="T153" s="118"/>
      <c r="U153" s="1"/>
      <c r="AD153" s="385"/>
      <c r="AE153" s="118"/>
      <c r="AF153" s="118"/>
      <c r="AG153" s="118"/>
      <c r="AH153" s="118"/>
      <c r="AI153" s="1" t="s">
        <v>104</v>
      </c>
    </row>
    <row r="154" spans="1:38" ht="24.95" customHeight="1">
      <c r="B154" s="6" t="s">
        <v>13</v>
      </c>
      <c r="C154" s="320" t="s">
        <v>34</v>
      </c>
      <c r="D154" s="2"/>
      <c r="F154" s="273"/>
      <c r="G154" s="266"/>
      <c r="H154" s="323"/>
      <c r="I154" s="323"/>
      <c r="J154" s="323"/>
      <c r="K154" s="323"/>
      <c r="L154">
        <v>2.4</v>
      </c>
      <c r="P154" s="6" t="s">
        <v>13</v>
      </c>
      <c r="Q154" s="320" t="s">
        <v>34</v>
      </c>
      <c r="R154" s="2"/>
      <c r="T154" s="273"/>
      <c r="U154" s="366"/>
      <c r="V154" s="323"/>
      <c r="W154" s="323"/>
      <c r="X154" s="323"/>
      <c r="AI154" s="266" t="s">
        <v>105</v>
      </c>
      <c r="AJ154" s="323"/>
      <c r="AK154" s="323"/>
      <c r="AL154" s="323"/>
    </row>
    <row r="155" spans="1:38" ht="24.95" customHeight="1">
      <c r="B155" s="6" t="s">
        <v>14</v>
      </c>
      <c r="C155" s="320" t="s">
        <v>35</v>
      </c>
      <c r="D155" s="2"/>
      <c r="G155" s="1"/>
      <c r="L155">
        <v>3.6</v>
      </c>
      <c r="P155" s="6" t="s">
        <v>14</v>
      </c>
      <c r="Q155" s="320" t="s">
        <v>35</v>
      </c>
      <c r="R155" s="2"/>
      <c r="U155" s="1"/>
      <c r="AI155" s="1" t="s">
        <v>106</v>
      </c>
    </row>
    <row r="156" spans="1:38" ht="24.95" customHeight="1">
      <c r="G156" s="637"/>
      <c r="H156" s="637"/>
      <c r="I156" s="637"/>
      <c r="J156" s="637"/>
      <c r="K156" s="48"/>
      <c r="L156">
        <v>8</v>
      </c>
      <c r="U156" s="637"/>
      <c r="V156" s="637"/>
      <c r="W156" s="637"/>
      <c r="X156" s="637"/>
      <c r="AI156" s="637"/>
      <c r="AJ156" s="637"/>
      <c r="AK156" s="637"/>
      <c r="AL156" s="637"/>
    </row>
    <row r="157" spans="1:38" ht="24.95" customHeight="1">
      <c r="G157" s="48"/>
      <c r="H157" s="48"/>
      <c r="I157" s="48"/>
      <c r="J157" s="48"/>
      <c r="K157" s="48"/>
      <c r="L157">
        <v>14</v>
      </c>
      <c r="U157" s="48"/>
      <c r="V157" s="48"/>
      <c r="W157" s="48"/>
      <c r="X157" s="48"/>
      <c r="AI157" s="48"/>
      <c r="AJ157" s="48"/>
      <c r="AK157" s="48"/>
      <c r="AL157" s="48"/>
    </row>
    <row r="158" spans="1:38">
      <c r="G158" s="637"/>
      <c r="H158" s="637"/>
      <c r="I158" s="637"/>
      <c r="J158" s="637"/>
      <c r="K158" s="48"/>
      <c r="L158">
        <v>61.6</v>
      </c>
      <c r="U158" s="637"/>
      <c r="V158" s="637"/>
      <c r="W158" s="637"/>
      <c r="X158" s="637"/>
      <c r="AI158" s="637"/>
      <c r="AJ158" s="637"/>
      <c r="AK158" s="637"/>
      <c r="AL158" s="637"/>
    </row>
    <row r="159" spans="1:38">
      <c r="G159" s="637"/>
      <c r="H159" s="637"/>
      <c r="I159" s="637"/>
      <c r="J159" s="637"/>
      <c r="K159" s="48"/>
      <c r="L159">
        <v>9.6</v>
      </c>
      <c r="U159" s="637"/>
      <c r="V159" s="637"/>
      <c r="W159" s="637"/>
      <c r="X159" s="637"/>
      <c r="AI159" s="637"/>
      <c r="AJ159" s="637"/>
      <c r="AK159" s="637"/>
      <c r="AL159" s="637"/>
    </row>
    <row r="160" spans="1:38">
      <c r="L160">
        <v>0</v>
      </c>
    </row>
    <row r="161" spans="7:38">
      <c r="L161">
        <v>4.4000000000000004</v>
      </c>
    </row>
    <row r="162" spans="7:38" ht="15">
      <c r="G162" s="653"/>
      <c r="H162" s="653"/>
      <c r="I162" s="653"/>
      <c r="J162" s="653"/>
      <c r="K162" s="46"/>
      <c r="L162">
        <v>6</v>
      </c>
      <c r="U162" s="653"/>
      <c r="V162" s="653"/>
      <c r="W162" s="653"/>
      <c r="X162" s="653"/>
      <c r="AI162" s="653"/>
      <c r="AJ162" s="653"/>
      <c r="AK162" s="653"/>
      <c r="AL162" s="653"/>
    </row>
    <row r="163" spans="7:38">
      <c r="G163" s="637"/>
      <c r="H163" s="637"/>
      <c r="I163" s="637"/>
      <c r="J163" s="637"/>
      <c r="K163" s="48"/>
      <c r="L163">
        <v>0</v>
      </c>
      <c r="U163" s="637"/>
      <c r="V163" s="637"/>
      <c r="W163" s="637"/>
      <c r="X163" s="637"/>
      <c r="AI163" s="637"/>
      <c r="AJ163" s="637"/>
      <c r="AK163" s="637"/>
      <c r="AL163" s="637"/>
    </row>
    <row r="164" spans="7:38">
      <c r="G164" s="637"/>
      <c r="H164" s="637"/>
      <c r="I164" s="637"/>
      <c r="J164" s="637"/>
      <c r="K164" s="48"/>
      <c r="U164" s="637"/>
      <c r="V164" s="637"/>
      <c r="W164" s="637"/>
      <c r="X164" s="637"/>
      <c r="AI164" s="637"/>
      <c r="AJ164" s="637"/>
      <c r="AK164" s="637"/>
      <c r="AL164" s="637"/>
    </row>
    <row r="165" spans="7:38">
      <c r="G165" s="48"/>
      <c r="H165" s="48"/>
      <c r="I165" s="48"/>
      <c r="J165" s="48"/>
      <c r="K165" s="48"/>
      <c r="U165" s="48"/>
      <c r="V165" s="48"/>
      <c r="W165" s="48"/>
      <c r="X165" s="48"/>
      <c r="AI165" s="48"/>
      <c r="AJ165" s="48"/>
      <c r="AK165" s="48"/>
      <c r="AL165" s="48"/>
    </row>
    <row r="166" spans="7:38">
      <c r="G166" s="48"/>
      <c r="H166" s="48"/>
      <c r="I166" s="48"/>
      <c r="J166" s="48"/>
      <c r="K166" s="48"/>
      <c r="U166" s="48"/>
      <c r="V166" s="48"/>
      <c r="W166" s="48"/>
      <c r="X166" s="48"/>
      <c r="AI166" s="48"/>
      <c r="AJ166" s="48"/>
      <c r="AK166" s="48"/>
      <c r="AL166" s="48"/>
    </row>
    <row r="167" spans="7:38">
      <c r="G167" s="48"/>
      <c r="H167" s="48"/>
      <c r="I167" s="48"/>
      <c r="J167" s="48"/>
      <c r="K167" s="48"/>
      <c r="U167" s="48"/>
      <c r="V167" s="48"/>
      <c r="W167" s="48"/>
      <c r="X167" s="48"/>
      <c r="AI167" s="48"/>
      <c r="AJ167" s="48"/>
      <c r="AK167" s="48"/>
      <c r="AL167" s="48"/>
    </row>
    <row r="168" spans="7:38">
      <c r="G168" s="48"/>
      <c r="H168" s="48"/>
      <c r="I168" s="48"/>
      <c r="J168" s="48"/>
      <c r="K168" s="48"/>
      <c r="U168" s="48"/>
      <c r="V168" s="48"/>
      <c r="W168" s="48"/>
      <c r="X168" s="48"/>
      <c r="AI168" s="48"/>
      <c r="AJ168" s="48"/>
      <c r="AK168" s="48"/>
      <c r="AL168" s="48"/>
    </row>
    <row r="169" spans="7:38">
      <c r="G169" s="48"/>
      <c r="H169" s="48"/>
      <c r="I169" s="48"/>
      <c r="J169" s="48"/>
      <c r="K169" s="48"/>
      <c r="U169" s="48"/>
      <c r="V169" s="48"/>
      <c r="W169" s="48"/>
      <c r="X169" s="48"/>
      <c r="AI169" s="48"/>
      <c r="AJ169" s="48"/>
      <c r="AK169" s="48"/>
      <c r="AL169" s="48"/>
    </row>
    <row r="170" spans="7:38">
      <c r="G170" s="48"/>
      <c r="H170" s="48"/>
      <c r="I170" s="48"/>
      <c r="J170" s="48"/>
      <c r="K170" s="48"/>
      <c r="U170" s="48"/>
      <c r="V170" s="48"/>
      <c r="W170" s="48"/>
      <c r="X170" s="48"/>
      <c r="AI170" s="48"/>
      <c r="AJ170" s="48"/>
      <c r="AK170" s="48"/>
      <c r="AL170" s="48"/>
    </row>
    <row r="171" spans="7:38">
      <c r="G171" s="48"/>
      <c r="H171" s="48"/>
      <c r="I171" s="48"/>
      <c r="J171" s="48"/>
      <c r="K171" s="48"/>
      <c r="U171" s="48"/>
      <c r="V171" s="48"/>
      <c r="W171" s="48"/>
      <c r="X171" s="48"/>
      <c r="AI171" s="48"/>
      <c r="AJ171" s="48"/>
      <c r="AK171" s="48"/>
      <c r="AL171" s="48"/>
    </row>
    <row r="172" spans="7:38">
      <c r="G172" s="48"/>
      <c r="H172" s="48"/>
      <c r="I172" s="48"/>
      <c r="J172" s="48"/>
      <c r="K172" s="48"/>
      <c r="U172" s="48"/>
      <c r="V172" s="48"/>
      <c r="W172" s="48"/>
      <c r="X172" s="48"/>
      <c r="AI172" s="48"/>
      <c r="AJ172" s="48"/>
      <c r="AK172" s="48"/>
      <c r="AL172" s="48"/>
    </row>
    <row r="173" spans="7:38">
      <c r="G173" s="48"/>
      <c r="H173" s="48"/>
      <c r="I173" s="48"/>
      <c r="J173" s="48"/>
      <c r="K173" s="48"/>
      <c r="U173" s="48"/>
      <c r="V173" s="48"/>
      <c r="W173" s="48"/>
      <c r="X173" s="48"/>
      <c r="AI173" s="48"/>
      <c r="AJ173" s="48"/>
      <c r="AK173" s="48"/>
      <c r="AL173" s="48"/>
    </row>
    <row r="174" spans="7:38">
      <c r="G174" s="48"/>
      <c r="H174" s="48"/>
      <c r="I174" s="48"/>
      <c r="J174" s="48"/>
      <c r="K174" s="48"/>
      <c r="U174" s="48"/>
      <c r="V174" s="48"/>
      <c r="W174" s="48"/>
      <c r="X174" s="48"/>
      <c r="AI174" s="48"/>
      <c r="AJ174" s="48"/>
      <c r="AK174" s="48"/>
      <c r="AL174" s="48"/>
    </row>
    <row r="175" spans="7:38">
      <c r="G175" s="48"/>
      <c r="H175" s="48"/>
      <c r="I175" s="48"/>
      <c r="J175" s="48"/>
      <c r="K175" s="48"/>
      <c r="U175" s="48"/>
      <c r="V175" s="48"/>
      <c r="W175" s="48"/>
      <c r="X175" s="48"/>
      <c r="AI175" s="48"/>
      <c r="AJ175" s="48"/>
      <c r="AK175" s="48"/>
      <c r="AL175" s="48"/>
    </row>
    <row r="176" spans="7:38">
      <c r="G176" s="48"/>
      <c r="H176" s="48"/>
      <c r="I176" s="48"/>
      <c r="J176" s="48"/>
      <c r="K176" s="48"/>
      <c r="U176" s="48"/>
      <c r="V176" s="48"/>
      <c r="W176" s="48"/>
      <c r="X176" s="48"/>
      <c r="AI176" s="48"/>
      <c r="AJ176" s="48"/>
      <c r="AK176" s="48"/>
      <c r="AL176" s="48"/>
    </row>
    <row r="177" spans="1:38" ht="24.95" customHeight="1">
      <c r="G177" s="48"/>
      <c r="H177" s="48"/>
      <c r="I177" s="48"/>
      <c r="J177" s="48"/>
      <c r="K177" s="48"/>
      <c r="U177" s="48"/>
      <c r="V177" s="48"/>
      <c r="W177" s="48"/>
      <c r="X177" s="48"/>
      <c r="AI177" s="48"/>
      <c r="AJ177" s="48"/>
      <c r="AK177" s="48"/>
      <c r="AL177" s="48"/>
    </row>
    <row r="178" spans="1:38" ht="24.95" customHeight="1">
      <c r="A178" s="632" t="s">
        <v>59</v>
      </c>
      <c r="B178" s="632"/>
      <c r="C178" s="632"/>
      <c r="D178" s="632"/>
      <c r="E178" s="632"/>
      <c r="F178" s="632"/>
      <c r="G178" s="632"/>
      <c r="H178" s="632"/>
      <c r="I178" s="632"/>
      <c r="J178" s="632"/>
      <c r="K178" s="296"/>
      <c r="O178" s="632" t="s">
        <v>59</v>
      </c>
      <c r="P178" s="632"/>
      <c r="Q178" s="632"/>
      <c r="R178" s="632"/>
      <c r="S178" s="632"/>
      <c r="T178" s="632"/>
      <c r="U178" s="632"/>
      <c r="V178" s="632"/>
      <c r="W178" s="632"/>
      <c r="X178" s="632"/>
      <c r="AC178" s="663" t="s">
        <v>59</v>
      </c>
      <c r="AD178" s="663"/>
      <c r="AE178" s="663"/>
      <c r="AF178" s="663"/>
      <c r="AG178" s="663"/>
      <c r="AH178" s="663"/>
      <c r="AI178" s="663"/>
      <c r="AJ178" s="663"/>
      <c r="AK178" s="663"/>
      <c r="AL178" s="663"/>
    </row>
    <row r="179" spans="1:38" ht="24.95" customHeight="1">
      <c r="A179" s="632" t="s">
        <v>1</v>
      </c>
      <c r="B179" s="632"/>
      <c r="C179" s="632"/>
      <c r="D179" s="632"/>
      <c r="E179" s="632"/>
      <c r="F179" s="632"/>
      <c r="G179" s="632"/>
      <c r="H179" s="632"/>
      <c r="I179" s="632"/>
      <c r="J179" s="632"/>
      <c r="K179" s="296"/>
      <c r="O179" s="632" t="s">
        <v>1</v>
      </c>
      <c r="P179" s="632"/>
      <c r="Q179" s="632"/>
      <c r="R179" s="632"/>
      <c r="S179" s="632"/>
      <c r="T179" s="632"/>
      <c r="U179" s="632"/>
      <c r="V179" s="632"/>
      <c r="W179" s="632"/>
      <c r="X179" s="632"/>
      <c r="AC179" s="663" t="s">
        <v>1</v>
      </c>
      <c r="AD179" s="663"/>
      <c r="AE179" s="663"/>
      <c r="AF179" s="663"/>
      <c r="AG179" s="663"/>
      <c r="AH179" s="663"/>
      <c r="AI179" s="663"/>
      <c r="AJ179" s="663"/>
      <c r="AK179" s="663"/>
      <c r="AL179" s="663"/>
    </row>
    <row r="180" spans="1:38" ht="24.95" customHeight="1">
      <c r="A180" s="632" t="s">
        <v>206</v>
      </c>
      <c r="B180" s="632"/>
      <c r="C180" s="632"/>
      <c r="D180" s="632"/>
      <c r="E180" s="632"/>
      <c r="F180" s="632"/>
      <c r="G180" s="632"/>
      <c r="H180" s="632"/>
      <c r="I180" s="632"/>
      <c r="J180" s="632"/>
      <c r="K180" s="623"/>
      <c r="O180" s="632" t="s">
        <v>60</v>
      </c>
      <c r="P180" s="632"/>
      <c r="Q180" s="632"/>
      <c r="R180" s="632"/>
      <c r="S180" s="632"/>
      <c r="T180" s="632"/>
      <c r="U180" s="632"/>
      <c r="V180" s="632"/>
      <c r="W180" s="632"/>
      <c r="X180" s="632"/>
      <c r="AC180" s="663" t="s">
        <v>107</v>
      </c>
      <c r="AD180" s="663"/>
      <c r="AE180" s="663"/>
      <c r="AF180" s="663"/>
      <c r="AG180" s="663"/>
      <c r="AH180" s="663"/>
      <c r="AI180" s="663"/>
      <c r="AJ180" s="663"/>
      <c r="AK180" s="663"/>
      <c r="AL180" s="663"/>
    </row>
    <row r="181" spans="1:38" ht="24.95" customHeight="1">
      <c r="A181" s="296"/>
      <c r="B181" s="296"/>
      <c r="C181" s="296"/>
      <c r="D181" s="296"/>
      <c r="E181" s="296"/>
      <c r="F181" s="296"/>
      <c r="G181" s="296"/>
      <c r="H181" s="296"/>
      <c r="I181" s="296"/>
      <c r="J181" s="296"/>
      <c r="K181" s="296"/>
      <c r="O181" s="296"/>
      <c r="P181" s="296"/>
      <c r="Q181" s="296"/>
      <c r="R181" s="296"/>
      <c r="S181" s="296"/>
      <c r="T181" s="296"/>
      <c r="U181" s="296"/>
      <c r="V181" s="296"/>
      <c r="W181" s="296"/>
      <c r="X181" s="296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</row>
    <row r="182" spans="1:38" ht="24.95" customHeight="1">
      <c r="A182" s="2" t="s">
        <v>61</v>
      </c>
      <c r="B182" s="2"/>
      <c r="C182" s="2" t="s">
        <v>84</v>
      </c>
      <c r="D182" s="2"/>
      <c r="E182" s="2"/>
      <c r="F182" s="2"/>
      <c r="G182" s="2"/>
      <c r="H182" s="2"/>
      <c r="I182" s="2"/>
      <c r="J182" s="2"/>
      <c r="K182" s="2"/>
      <c r="O182" s="2" t="s">
        <v>61</v>
      </c>
      <c r="P182" s="2"/>
      <c r="Q182" s="2" t="s">
        <v>84</v>
      </c>
      <c r="R182" s="2"/>
      <c r="S182" s="2"/>
      <c r="T182" s="2"/>
      <c r="U182" s="2"/>
      <c r="V182" s="2"/>
      <c r="W182" s="2"/>
      <c r="X182" s="2"/>
      <c r="AC182" t="s">
        <v>61</v>
      </c>
      <c r="AE182" t="s">
        <v>84</v>
      </c>
    </row>
    <row r="183" spans="1:38" ht="24.95" customHeight="1">
      <c r="A183" s="1"/>
      <c r="E183" s="1"/>
      <c r="O183" s="1"/>
      <c r="S183" s="1"/>
      <c r="AC183" s="1"/>
      <c r="AG183" s="1"/>
    </row>
    <row r="184" spans="1:38" ht="24.95" customHeight="1"/>
    <row r="185" spans="1:38" ht="30" customHeight="1">
      <c r="A185" s="297" t="s">
        <v>4</v>
      </c>
      <c r="B185" s="298" t="s">
        <v>63</v>
      </c>
      <c r="C185" s="298" t="s">
        <v>12</v>
      </c>
      <c r="D185" s="298" t="s">
        <v>13</v>
      </c>
      <c r="E185" s="298" t="s">
        <v>14</v>
      </c>
      <c r="F185" s="299" t="s">
        <v>79</v>
      </c>
      <c r="G185" s="299" t="s">
        <v>8</v>
      </c>
      <c r="H185" s="299" t="s">
        <v>9</v>
      </c>
      <c r="I185" s="299" t="s">
        <v>10</v>
      </c>
      <c r="J185" s="330" t="s">
        <v>11</v>
      </c>
      <c r="K185" s="612" t="s">
        <v>102</v>
      </c>
      <c r="O185" s="297" t="s">
        <v>4</v>
      </c>
      <c r="P185" s="298" t="s">
        <v>63</v>
      </c>
      <c r="Q185" s="298" t="s">
        <v>12</v>
      </c>
      <c r="R185" s="298" t="s">
        <v>13</v>
      </c>
      <c r="S185" s="298" t="s">
        <v>14</v>
      </c>
      <c r="T185" s="299" t="s">
        <v>79</v>
      </c>
      <c r="U185" s="299" t="s">
        <v>8</v>
      </c>
      <c r="V185" s="299" t="s">
        <v>9</v>
      </c>
      <c r="W185" s="299" t="s">
        <v>10</v>
      </c>
      <c r="X185" s="330" t="s">
        <v>11</v>
      </c>
      <c r="Z185" s="357" t="s">
        <v>103</v>
      </c>
      <c r="AC185" s="297" t="s">
        <v>4</v>
      </c>
      <c r="AD185" s="298" t="s">
        <v>63</v>
      </c>
      <c r="AE185" s="298" t="s">
        <v>12</v>
      </c>
      <c r="AF185" s="298" t="s">
        <v>13</v>
      </c>
      <c r="AG185" s="298" t="s">
        <v>14</v>
      </c>
      <c r="AH185" s="299" t="s">
        <v>79</v>
      </c>
      <c r="AI185" s="299" t="s">
        <v>8</v>
      </c>
      <c r="AJ185" s="299" t="s">
        <v>9</v>
      </c>
      <c r="AK185" s="299" t="s">
        <v>10</v>
      </c>
      <c r="AL185" s="330" t="s">
        <v>11</v>
      </c>
    </row>
    <row r="186" spans="1:38" ht="24.95" customHeight="1">
      <c r="A186" s="300">
        <v>1</v>
      </c>
      <c r="B186" s="301">
        <v>2</v>
      </c>
      <c r="C186" s="301">
        <v>3</v>
      </c>
      <c r="D186" s="301">
        <v>4</v>
      </c>
      <c r="E186" s="301">
        <v>5</v>
      </c>
      <c r="F186" s="301">
        <v>6</v>
      </c>
      <c r="G186" s="301">
        <v>7</v>
      </c>
      <c r="H186" s="301">
        <v>8</v>
      </c>
      <c r="I186" s="301">
        <v>9</v>
      </c>
      <c r="J186" s="333">
        <v>10</v>
      </c>
      <c r="K186" s="334" t="s">
        <v>12</v>
      </c>
      <c r="L186" s="1" t="s">
        <v>13</v>
      </c>
      <c r="M186" s="1" t="s">
        <v>14</v>
      </c>
      <c r="N186" s="1" t="s">
        <v>65</v>
      </c>
      <c r="O186" s="300">
        <v>1</v>
      </c>
      <c r="P186" s="301">
        <v>2</v>
      </c>
      <c r="Q186" s="301">
        <v>3</v>
      </c>
      <c r="R186" s="301">
        <v>4</v>
      </c>
      <c r="S186" s="301">
        <v>5</v>
      </c>
      <c r="T186" s="301">
        <v>6</v>
      </c>
      <c r="U186" s="301">
        <v>7</v>
      </c>
      <c r="V186" s="301">
        <v>8</v>
      </c>
      <c r="W186" s="301">
        <v>9</v>
      </c>
      <c r="X186" s="333">
        <v>10</v>
      </c>
      <c r="Y186" s="1" t="s">
        <v>95</v>
      </c>
      <c r="Z186" s="1" t="s">
        <v>94</v>
      </c>
      <c r="AA186" s="1" t="s">
        <v>96</v>
      </c>
      <c r="AB186" s="403" t="s">
        <v>97</v>
      </c>
      <c r="AC186" s="300">
        <v>1</v>
      </c>
      <c r="AD186" s="301">
        <v>2</v>
      </c>
      <c r="AE186" s="301">
        <v>3</v>
      </c>
      <c r="AF186" s="301">
        <v>4</v>
      </c>
      <c r="AG186" s="301">
        <v>5</v>
      </c>
      <c r="AH186" s="301">
        <v>6</v>
      </c>
      <c r="AI186" s="301">
        <v>7</v>
      </c>
      <c r="AJ186" s="301">
        <v>8</v>
      </c>
      <c r="AK186" s="301">
        <v>9</v>
      </c>
      <c r="AL186" s="333">
        <v>10</v>
      </c>
    </row>
    <row r="187" spans="1:38" ht="24.95" customHeight="1">
      <c r="A187" s="16">
        <v>1</v>
      </c>
      <c r="B187" s="614" t="s">
        <v>82</v>
      </c>
      <c r="C187" s="394">
        <f>7+1</f>
        <v>8</v>
      </c>
      <c r="D187" s="123">
        <v>15</v>
      </c>
      <c r="E187" s="123">
        <f>77-1</f>
        <v>76</v>
      </c>
      <c r="F187" s="123">
        <f>E187+D187+C187</f>
        <v>99</v>
      </c>
      <c r="G187" s="421">
        <f>H187/1000*D187</f>
        <v>13.5</v>
      </c>
      <c r="H187" s="123">
        <v>900</v>
      </c>
      <c r="I187" s="123">
        <v>246</v>
      </c>
      <c r="J187" s="398">
        <f>F187-T187</f>
        <v>-9.9999999999994316E-2</v>
      </c>
      <c r="K187" s="337">
        <f>C187-Q187</f>
        <v>2</v>
      </c>
      <c r="L187" s="273">
        <f>D187-R187</f>
        <v>0</v>
      </c>
      <c r="M187" s="273">
        <f>E187-S187</f>
        <v>-2.0999999999999943</v>
      </c>
      <c r="N187" s="273">
        <f>I187-W187</f>
        <v>0</v>
      </c>
      <c r="O187" s="16">
        <v>1</v>
      </c>
      <c r="P187" s="390" t="s">
        <v>82</v>
      </c>
      <c r="Q187" s="394">
        <f>4+2</f>
        <v>6</v>
      </c>
      <c r="R187" s="123">
        <v>15</v>
      </c>
      <c r="S187" s="123">
        <f>80.1-2</f>
        <v>78.099999999999994</v>
      </c>
      <c r="T187" s="421">
        <f>S187+R187+Q187</f>
        <v>99.1</v>
      </c>
      <c r="U187" s="421">
        <f>V187/1000*R187</f>
        <v>13.5</v>
      </c>
      <c r="V187" s="123">
        <v>900</v>
      </c>
      <c r="W187" s="123">
        <v>246</v>
      </c>
      <c r="X187" s="398">
        <f t="shared" ref="X187:X189" si="96">T187-AH187</f>
        <v>9.9999999999994316E-2</v>
      </c>
      <c r="Y187" s="273">
        <f t="shared" ref="Y187:Y197" si="97">R187-AF187</f>
        <v>0</v>
      </c>
      <c r="Z187" s="273">
        <f t="shared" ref="Z187:Z197" si="98">Q187-AE187</f>
        <v>2</v>
      </c>
      <c r="AA187">
        <f t="shared" ref="AA187:AA189" si="99">S187-AG187</f>
        <v>-1.9000000000000057</v>
      </c>
      <c r="AB187" s="273">
        <f t="shared" ref="AB187:AB197" si="100">W187-AK187</f>
        <v>0</v>
      </c>
      <c r="AC187" s="16">
        <v>1</v>
      </c>
      <c r="AD187" s="17" t="s">
        <v>82</v>
      </c>
      <c r="AE187" s="394">
        <f>1+3</f>
        <v>4</v>
      </c>
      <c r="AF187" s="123">
        <v>15</v>
      </c>
      <c r="AG187" s="123">
        <f>83-3</f>
        <v>80</v>
      </c>
      <c r="AH187" s="123">
        <f>AG187+AF187+AE187</f>
        <v>99</v>
      </c>
      <c r="AI187" s="328">
        <f>AJ187/1000*AF187</f>
        <v>13.5</v>
      </c>
      <c r="AJ187" s="123">
        <v>900</v>
      </c>
      <c r="AK187" s="123">
        <v>246</v>
      </c>
      <c r="AL187" s="398"/>
    </row>
    <row r="188" spans="1:38" ht="24.95" customHeight="1">
      <c r="A188" s="22">
        <v>2</v>
      </c>
      <c r="B188" s="375" t="s">
        <v>67</v>
      </c>
      <c r="C188" s="123">
        <v>1</v>
      </c>
      <c r="D188" s="395">
        <f>14.3-3</f>
        <v>11.3</v>
      </c>
      <c r="E188" s="328">
        <f>0.6+3-2</f>
        <v>1.6</v>
      </c>
      <c r="F188" s="395">
        <f t="shared" ref="F188:F190" si="101">E188+D188+C188</f>
        <v>13.9</v>
      </c>
      <c r="G188" s="421">
        <f>H188/1000*D188</f>
        <v>10.170000000000002</v>
      </c>
      <c r="H188" s="123">
        <v>900</v>
      </c>
      <c r="I188" s="397">
        <f>147-1</f>
        <v>146</v>
      </c>
      <c r="J188" s="398">
        <f t="shared" ref="J188:J197" si="102">F188-T188</f>
        <v>0</v>
      </c>
      <c r="K188" s="337">
        <f t="shared" ref="K188:K197" si="103">C188-Q188</f>
        <v>0</v>
      </c>
      <c r="L188" s="273">
        <f t="shared" ref="L188:L197" si="104">D188-R188</f>
        <v>0</v>
      </c>
      <c r="M188" s="273">
        <f t="shared" ref="M188:M197" si="105">E188-S188</f>
        <v>0</v>
      </c>
      <c r="N188" s="273">
        <f t="shared" ref="N188:N197" si="106">I188-W188</f>
        <v>0</v>
      </c>
      <c r="O188" s="22">
        <v>2</v>
      </c>
      <c r="P188" s="339" t="s">
        <v>67</v>
      </c>
      <c r="Q188" s="123">
        <v>1</v>
      </c>
      <c r="R188" s="395">
        <f>14.3-3</f>
        <v>11.3</v>
      </c>
      <c r="S188" s="328">
        <f>0.6+3-2</f>
        <v>1.6</v>
      </c>
      <c r="T188" s="608">
        <f t="shared" ref="T188:T197" si="107">S188+R188+Q188</f>
        <v>13.9</v>
      </c>
      <c r="U188" s="421">
        <f>V188/1000*R188</f>
        <v>10.170000000000002</v>
      </c>
      <c r="V188" s="123">
        <v>900</v>
      </c>
      <c r="W188" s="397">
        <f>147-1</f>
        <v>146</v>
      </c>
      <c r="X188" s="398">
        <f t="shared" si="96"/>
        <v>-1.9000000000000004</v>
      </c>
      <c r="Y188" s="273">
        <f t="shared" si="97"/>
        <v>-3</v>
      </c>
      <c r="Z188" s="273">
        <f t="shared" si="98"/>
        <v>0</v>
      </c>
      <c r="AA188">
        <f t="shared" si="99"/>
        <v>1.1000000000000001</v>
      </c>
      <c r="AB188" s="273">
        <f t="shared" si="100"/>
        <v>-1</v>
      </c>
      <c r="AC188" s="22">
        <v>2</v>
      </c>
      <c r="AD188" s="23" t="s">
        <v>67</v>
      </c>
      <c r="AE188" s="123">
        <v>1</v>
      </c>
      <c r="AF188" s="397">
        <v>14.3</v>
      </c>
      <c r="AG188" s="123">
        <v>0.5</v>
      </c>
      <c r="AH188" s="397">
        <f t="shared" ref="AH188:AH190" si="108">AG188+AF188+AE188</f>
        <v>15.8</v>
      </c>
      <c r="AI188" s="328">
        <f>AJ188/1000*AF188</f>
        <v>12.870000000000001</v>
      </c>
      <c r="AJ188" s="123">
        <v>900</v>
      </c>
      <c r="AK188" s="397">
        <v>147</v>
      </c>
      <c r="AL188" s="398"/>
    </row>
    <row r="189" spans="1:38" ht="24.95" customHeight="1">
      <c r="A189" s="26">
        <v>3</v>
      </c>
      <c r="B189" s="310" t="s">
        <v>68</v>
      </c>
      <c r="C189" s="123">
        <v>8</v>
      </c>
      <c r="D189" s="123">
        <v>13</v>
      </c>
      <c r="E189" s="396">
        <v>2.1</v>
      </c>
      <c r="F189" s="397">
        <f t="shared" si="101"/>
        <v>23.1</v>
      </c>
      <c r="G189" s="421">
        <f>H189/1000*D189</f>
        <v>11.700000000000001</v>
      </c>
      <c r="H189" s="123">
        <v>900</v>
      </c>
      <c r="I189" s="123">
        <v>194</v>
      </c>
      <c r="J189" s="398">
        <f t="shared" si="102"/>
        <v>0</v>
      </c>
      <c r="K189" s="337">
        <f t="shared" si="103"/>
        <v>0</v>
      </c>
      <c r="L189" s="273">
        <f t="shared" si="104"/>
        <v>0</v>
      </c>
      <c r="M189" s="273">
        <f t="shared" si="105"/>
        <v>0</v>
      </c>
      <c r="N189" s="273">
        <f t="shared" si="106"/>
        <v>0</v>
      </c>
      <c r="O189" s="26">
        <v>3</v>
      </c>
      <c r="P189" s="310" t="s">
        <v>68</v>
      </c>
      <c r="Q189" s="123">
        <v>8</v>
      </c>
      <c r="R189" s="123">
        <v>13</v>
      </c>
      <c r="S189" s="396">
        <v>2.1</v>
      </c>
      <c r="T189" s="608">
        <f t="shared" si="107"/>
        <v>23.1</v>
      </c>
      <c r="U189" s="421">
        <f>V189/1000*R189</f>
        <v>11.700000000000001</v>
      </c>
      <c r="V189" s="123">
        <v>900</v>
      </c>
      <c r="W189" s="123">
        <v>194</v>
      </c>
      <c r="X189" s="398">
        <f t="shared" si="96"/>
        <v>0.10000000000000142</v>
      </c>
      <c r="Y189" s="273">
        <f t="shared" si="97"/>
        <v>0</v>
      </c>
      <c r="Z189" s="273">
        <f t="shared" si="98"/>
        <v>0</v>
      </c>
      <c r="AA189">
        <f t="shared" si="99"/>
        <v>0.10000000000000009</v>
      </c>
      <c r="AB189" s="273">
        <f t="shared" si="100"/>
        <v>0</v>
      </c>
      <c r="AC189" s="26">
        <v>3</v>
      </c>
      <c r="AD189" s="27" t="s">
        <v>68</v>
      </c>
      <c r="AE189" s="123">
        <v>8</v>
      </c>
      <c r="AF189" s="123">
        <v>13</v>
      </c>
      <c r="AG189" s="396">
        <v>2</v>
      </c>
      <c r="AH189" s="397">
        <f t="shared" si="108"/>
        <v>23</v>
      </c>
      <c r="AI189" s="328">
        <f>AJ189/1000*AF189</f>
        <v>11.700000000000001</v>
      </c>
      <c r="AJ189" s="123">
        <v>900</v>
      </c>
      <c r="AK189" s="123">
        <v>194</v>
      </c>
      <c r="AL189" s="398"/>
    </row>
    <row r="190" spans="1:38" ht="24.95" customHeight="1">
      <c r="A190" s="26">
        <v>4</v>
      </c>
      <c r="B190" s="610" t="s">
        <v>69</v>
      </c>
      <c r="C190" s="123">
        <f>4-4</f>
        <v>0</v>
      </c>
      <c r="D190" s="123">
        <f>26-3</f>
        <v>23</v>
      </c>
      <c r="E190" s="123">
        <f>1+3</f>
        <v>4</v>
      </c>
      <c r="F190" s="397">
        <f t="shared" si="101"/>
        <v>27</v>
      </c>
      <c r="G190" s="421">
        <f>H190/1000*D190</f>
        <v>20.7</v>
      </c>
      <c r="H190" s="123">
        <v>900</v>
      </c>
      <c r="I190" s="123">
        <f>767-2</f>
        <v>765</v>
      </c>
      <c r="J190" s="398">
        <f t="shared" si="102"/>
        <v>-4.1000000000000014</v>
      </c>
      <c r="K190" s="337">
        <f t="shared" si="103"/>
        <v>-4</v>
      </c>
      <c r="L190" s="273">
        <f t="shared" si="104"/>
        <v>-3</v>
      </c>
      <c r="M190" s="273">
        <f t="shared" si="105"/>
        <v>2.9</v>
      </c>
      <c r="N190" s="273">
        <f t="shared" si="106"/>
        <v>-2</v>
      </c>
      <c r="O190" s="26">
        <v>4</v>
      </c>
      <c r="P190" s="340" t="s">
        <v>69</v>
      </c>
      <c r="Q190" s="123">
        <f>5-1</f>
        <v>4</v>
      </c>
      <c r="R190" s="123">
        <f>25+1</f>
        <v>26</v>
      </c>
      <c r="S190" s="123">
        <f>2.1-1</f>
        <v>1.1000000000000001</v>
      </c>
      <c r="T190" s="608">
        <f t="shared" si="107"/>
        <v>31.1</v>
      </c>
      <c r="U190" s="421">
        <f>V190/1000*R190</f>
        <v>23.400000000000002</v>
      </c>
      <c r="V190" s="123">
        <v>900</v>
      </c>
      <c r="W190" s="123">
        <f>775-8</f>
        <v>767</v>
      </c>
      <c r="X190" s="398">
        <f t="shared" ref="X190:X197" si="109">T190-AH190</f>
        <v>-34.9</v>
      </c>
      <c r="Y190" s="273">
        <f t="shared" ref="Y190" si="110">R190-AF190</f>
        <v>-5</v>
      </c>
      <c r="Z190" s="273">
        <f t="shared" ref="Z190" si="111">Q190-AE190</f>
        <v>-3</v>
      </c>
      <c r="AA190">
        <f t="shared" ref="AA190:AA197" si="112">S190-AG190</f>
        <v>-26.9</v>
      </c>
      <c r="AB190" s="273">
        <f t="shared" si="100"/>
        <v>-12</v>
      </c>
      <c r="AC190" s="26">
        <v>4</v>
      </c>
      <c r="AD190" s="27" t="s">
        <v>69</v>
      </c>
      <c r="AE190" s="123">
        <v>7</v>
      </c>
      <c r="AF190" s="123">
        <v>31</v>
      </c>
      <c r="AG190" s="123">
        <f>29-1</f>
        <v>28</v>
      </c>
      <c r="AH190" s="397">
        <f t="shared" si="108"/>
        <v>66</v>
      </c>
      <c r="AI190" s="328">
        <f>AJ190/1000*AF190</f>
        <v>27.900000000000002</v>
      </c>
      <c r="AJ190" s="123">
        <v>900</v>
      </c>
      <c r="AK190" s="123">
        <v>779</v>
      </c>
      <c r="AL190" s="398"/>
    </row>
    <row r="191" spans="1:38" ht="24.95" customHeight="1">
      <c r="A191" s="26">
        <v>5</v>
      </c>
      <c r="B191" s="609" t="s">
        <v>70</v>
      </c>
      <c r="C191" s="123">
        <f>12+15</f>
        <v>27</v>
      </c>
      <c r="D191" s="123">
        <f>253+3</f>
        <v>256</v>
      </c>
      <c r="E191" s="123">
        <f>435-15</f>
        <v>420</v>
      </c>
      <c r="F191" s="397">
        <f t="shared" ref="F191:F193" si="113">E191+D191+C191</f>
        <v>703</v>
      </c>
      <c r="G191" s="421">
        <f>H191/1000*D191</f>
        <v>230.4</v>
      </c>
      <c r="H191" s="123">
        <v>900</v>
      </c>
      <c r="I191" s="397">
        <f>2606-6</f>
        <v>2600</v>
      </c>
      <c r="J191" s="398">
        <f t="shared" si="102"/>
        <v>-33.100000000000023</v>
      </c>
      <c r="K191" s="337">
        <f t="shared" si="103"/>
        <v>15</v>
      </c>
      <c r="L191" s="273">
        <f t="shared" si="104"/>
        <v>0</v>
      </c>
      <c r="M191" s="273">
        <f t="shared" si="105"/>
        <v>-48.100000000000023</v>
      </c>
      <c r="N191" s="273">
        <f t="shared" si="106"/>
        <v>-6</v>
      </c>
      <c r="O191" s="26">
        <v>5</v>
      </c>
      <c r="P191" s="341" t="s">
        <v>70</v>
      </c>
      <c r="Q191" s="123">
        <f>15-3</f>
        <v>12</v>
      </c>
      <c r="R191" s="123">
        <f>253+3</f>
        <v>256</v>
      </c>
      <c r="S191" s="123">
        <f>493.1-25</f>
        <v>468.1</v>
      </c>
      <c r="T191" s="608">
        <f t="shared" si="107"/>
        <v>736.1</v>
      </c>
      <c r="U191" s="421">
        <f>V191/1000*R191</f>
        <v>230.4</v>
      </c>
      <c r="V191" s="123">
        <v>900</v>
      </c>
      <c r="W191" s="397">
        <f>2616-10</f>
        <v>2606</v>
      </c>
      <c r="X191" s="398">
        <f t="shared" si="109"/>
        <v>-54.899999999999977</v>
      </c>
      <c r="Y191" s="273">
        <f t="shared" si="97"/>
        <v>8</v>
      </c>
      <c r="Z191" s="273">
        <f t="shared" si="98"/>
        <v>-8</v>
      </c>
      <c r="AA191">
        <f t="shared" si="112"/>
        <v>-54.899999999999977</v>
      </c>
      <c r="AB191" s="273">
        <f t="shared" si="100"/>
        <v>-20</v>
      </c>
      <c r="AC191" s="26">
        <v>5</v>
      </c>
      <c r="AD191" s="32" t="s">
        <v>70</v>
      </c>
      <c r="AE191" s="123">
        <v>20</v>
      </c>
      <c r="AF191" s="123">
        <v>248</v>
      </c>
      <c r="AG191" s="123">
        <v>523</v>
      </c>
      <c r="AH191" s="397">
        <f t="shared" ref="AH191:AH193" si="114">AG191+AF191+AE191</f>
        <v>791</v>
      </c>
      <c r="AI191" s="328">
        <f>AJ191/1000*AF191</f>
        <v>223.20000000000002</v>
      </c>
      <c r="AJ191" s="123">
        <v>900</v>
      </c>
      <c r="AK191" s="397">
        <f>2636-10</f>
        <v>2626</v>
      </c>
      <c r="AL191" s="398"/>
    </row>
    <row r="192" spans="1:38" ht="24.95" customHeight="1">
      <c r="A192" s="26">
        <v>6</v>
      </c>
      <c r="B192" s="610" t="s">
        <v>71</v>
      </c>
      <c r="C192" s="123">
        <f>15+12</f>
        <v>27</v>
      </c>
      <c r="D192" s="123">
        <f>39+4</f>
        <v>43</v>
      </c>
      <c r="E192" s="106">
        <f>66-12</f>
        <v>54</v>
      </c>
      <c r="F192" s="397">
        <f t="shared" si="113"/>
        <v>124</v>
      </c>
      <c r="G192" s="421">
        <f t="shared" ref="G192:G197" si="115">H192/1000*D192</f>
        <v>38.700000000000003</v>
      </c>
      <c r="H192" s="123">
        <v>900</v>
      </c>
      <c r="I192" s="123">
        <f>307+3</f>
        <v>310</v>
      </c>
      <c r="J192" s="398">
        <f t="shared" si="102"/>
        <v>0</v>
      </c>
      <c r="K192" s="337">
        <f t="shared" si="103"/>
        <v>12</v>
      </c>
      <c r="L192" s="273">
        <f t="shared" si="104"/>
        <v>0</v>
      </c>
      <c r="M192" s="273">
        <f t="shared" si="105"/>
        <v>-12</v>
      </c>
      <c r="N192" s="273">
        <f t="shared" si="106"/>
        <v>0</v>
      </c>
      <c r="O192" s="26">
        <v>6</v>
      </c>
      <c r="P192" s="340" t="s">
        <v>71</v>
      </c>
      <c r="Q192" s="123">
        <f>9+6</f>
        <v>15</v>
      </c>
      <c r="R192" s="123">
        <f>39+4</f>
        <v>43</v>
      </c>
      <c r="S192" s="106">
        <f>71-5</f>
        <v>66</v>
      </c>
      <c r="T192" s="608">
        <f t="shared" si="107"/>
        <v>124</v>
      </c>
      <c r="U192" s="421">
        <f t="shared" ref="U192:U197" si="116">V192/1000*R192</f>
        <v>38.700000000000003</v>
      </c>
      <c r="V192" s="123">
        <v>900</v>
      </c>
      <c r="W192" s="123">
        <f>307+3</f>
        <v>310</v>
      </c>
      <c r="X192" s="398">
        <f t="shared" si="109"/>
        <v>4</v>
      </c>
      <c r="Y192" s="273">
        <f t="shared" si="97"/>
        <v>4</v>
      </c>
      <c r="Z192" s="273">
        <f t="shared" si="98"/>
        <v>7</v>
      </c>
      <c r="AA192">
        <f t="shared" si="112"/>
        <v>-7</v>
      </c>
      <c r="AB192" s="273">
        <f t="shared" si="100"/>
        <v>2</v>
      </c>
      <c r="AC192" s="26">
        <v>6</v>
      </c>
      <c r="AD192" s="27" t="s">
        <v>71</v>
      </c>
      <c r="AE192" s="123">
        <f>10-2</f>
        <v>8</v>
      </c>
      <c r="AF192" s="123">
        <f>37+2</f>
        <v>39</v>
      </c>
      <c r="AG192" s="106">
        <f>75-2</f>
        <v>73</v>
      </c>
      <c r="AH192" s="397">
        <f t="shared" si="114"/>
        <v>120</v>
      </c>
      <c r="AI192" s="328">
        <f t="shared" ref="AI192:AI197" si="117">AJ192/1000*AF192</f>
        <v>35.1</v>
      </c>
      <c r="AJ192" s="123">
        <v>900</v>
      </c>
      <c r="AK192" s="123">
        <f>310-2</f>
        <v>308</v>
      </c>
      <c r="AL192" s="398"/>
    </row>
    <row r="193" spans="1:38" ht="24.95" customHeight="1">
      <c r="A193" s="26">
        <v>7</v>
      </c>
      <c r="B193" s="610" t="s">
        <v>72</v>
      </c>
      <c r="C193" s="123">
        <f>68+1</f>
        <v>69</v>
      </c>
      <c r="D193" s="123">
        <f>102-5</f>
        <v>97</v>
      </c>
      <c r="E193" s="394">
        <f>5-1</f>
        <v>4</v>
      </c>
      <c r="F193" s="397">
        <f t="shared" si="113"/>
        <v>170</v>
      </c>
      <c r="G193" s="421">
        <f t="shared" si="115"/>
        <v>87.3</v>
      </c>
      <c r="H193" s="123">
        <v>900</v>
      </c>
      <c r="I193" s="123">
        <v>235</v>
      </c>
      <c r="J193" s="398">
        <f t="shared" si="102"/>
        <v>0</v>
      </c>
      <c r="K193" s="337">
        <f t="shared" si="103"/>
        <v>0</v>
      </c>
      <c r="L193" s="273">
        <f t="shared" si="104"/>
        <v>0</v>
      </c>
      <c r="M193" s="273">
        <f t="shared" si="105"/>
        <v>0</v>
      </c>
      <c r="N193" s="273">
        <f t="shared" si="106"/>
        <v>0</v>
      </c>
      <c r="O193" s="26">
        <v>7</v>
      </c>
      <c r="P193" s="340" t="s">
        <v>72</v>
      </c>
      <c r="Q193" s="123">
        <f>68+1</f>
        <v>69</v>
      </c>
      <c r="R193" s="123">
        <f>102-5</f>
        <v>97</v>
      </c>
      <c r="S193" s="394">
        <f>5-1</f>
        <v>4</v>
      </c>
      <c r="T193" s="608">
        <f t="shared" si="107"/>
        <v>170</v>
      </c>
      <c r="U193" s="421">
        <f t="shared" si="116"/>
        <v>87.3</v>
      </c>
      <c r="V193" s="123">
        <v>900</v>
      </c>
      <c r="W193" s="123">
        <v>235</v>
      </c>
      <c r="X193" s="398">
        <f t="shared" si="109"/>
        <v>0</v>
      </c>
      <c r="Y193" s="273">
        <f t="shared" si="97"/>
        <v>0</v>
      </c>
      <c r="Z193" s="273">
        <f t="shared" si="98"/>
        <v>1</v>
      </c>
      <c r="AA193">
        <f t="shared" si="112"/>
        <v>-1</v>
      </c>
      <c r="AB193" s="273">
        <f t="shared" si="100"/>
        <v>0</v>
      </c>
      <c r="AC193" s="26">
        <v>7</v>
      </c>
      <c r="AD193" s="27" t="s">
        <v>72</v>
      </c>
      <c r="AE193" s="123">
        <v>68</v>
      </c>
      <c r="AF193" s="123">
        <f>102-5</f>
        <v>97</v>
      </c>
      <c r="AG193" s="394">
        <v>5</v>
      </c>
      <c r="AH193" s="397">
        <f t="shared" si="114"/>
        <v>170</v>
      </c>
      <c r="AI193" s="328">
        <f t="shared" si="117"/>
        <v>87.3</v>
      </c>
      <c r="AJ193" s="123">
        <v>900</v>
      </c>
      <c r="AK193" s="123">
        <v>235</v>
      </c>
      <c r="AL193" s="398"/>
    </row>
    <row r="194" spans="1:38" ht="24.95" customHeight="1">
      <c r="A194" s="26">
        <v>8</v>
      </c>
      <c r="B194" s="610" t="s">
        <v>73</v>
      </c>
      <c r="C194" s="123">
        <f>12-2</f>
        <v>10</v>
      </c>
      <c r="D194" s="123">
        <f>48-3</f>
        <v>45</v>
      </c>
      <c r="E194" s="123">
        <f>43+2</f>
        <v>45</v>
      </c>
      <c r="F194" s="397">
        <f t="shared" ref="F194:F196" si="118">E194+D194+C194</f>
        <v>100</v>
      </c>
      <c r="G194" s="421">
        <f t="shared" si="115"/>
        <v>40.5</v>
      </c>
      <c r="H194" s="123">
        <v>900</v>
      </c>
      <c r="I194" s="123">
        <f>2590-4</f>
        <v>2586</v>
      </c>
      <c r="J194" s="398">
        <f t="shared" si="102"/>
        <v>0</v>
      </c>
      <c r="K194" s="337">
        <f t="shared" si="103"/>
        <v>-2</v>
      </c>
      <c r="L194" s="273">
        <f t="shared" si="104"/>
        <v>0</v>
      </c>
      <c r="M194" s="273">
        <f t="shared" si="105"/>
        <v>2</v>
      </c>
      <c r="N194" s="273">
        <f t="shared" si="106"/>
        <v>0</v>
      </c>
      <c r="O194" s="26">
        <v>8</v>
      </c>
      <c r="P194" s="310" t="s">
        <v>73</v>
      </c>
      <c r="Q194" s="123">
        <v>12</v>
      </c>
      <c r="R194" s="123">
        <f>48-3</f>
        <v>45</v>
      </c>
      <c r="S194" s="123">
        <f>40+3</f>
        <v>43</v>
      </c>
      <c r="T194" s="608">
        <f t="shared" si="107"/>
        <v>100</v>
      </c>
      <c r="U194" s="421">
        <f t="shared" si="116"/>
        <v>40.5</v>
      </c>
      <c r="V194" s="123">
        <v>900</v>
      </c>
      <c r="W194" s="123">
        <f>2590-4</f>
        <v>2586</v>
      </c>
      <c r="X194" s="398">
        <f t="shared" si="109"/>
        <v>0</v>
      </c>
      <c r="Y194" s="273">
        <f t="shared" si="97"/>
        <v>-5</v>
      </c>
      <c r="Z194" s="273">
        <f t="shared" si="98"/>
        <v>0</v>
      </c>
      <c r="AA194">
        <f t="shared" si="112"/>
        <v>5</v>
      </c>
      <c r="AB194" s="273">
        <f t="shared" si="100"/>
        <v>0</v>
      </c>
      <c r="AC194" s="26">
        <v>8</v>
      </c>
      <c r="AD194" s="27" t="s">
        <v>73</v>
      </c>
      <c r="AE194" s="123">
        <v>12</v>
      </c>
      <c r="AF194" s="123">
        <v>50</v>
      </c>
      <c r="AG194" s="123">
        <f>57-19</f>
        <v>38</v>
      </c>
      <c r="AH194" s="397">
        <f t="shared" ref="AH194:AH196" si="119">AG194+AF194+AE194</f>
        <v>100</v>
      </c>
      <c r="AI194" s="328">
        <f t="shared" si="117"/>
        <v>45</v>
      </c>
      <c r="AJ194" s="123">
        <v>900</v>
      </c>
      <c r="AK194" s="123">
        <f>2590-4</f>
        <v>2586</v>
      </c>
      <c r="AL194" s="398"/>
    </row>
    <row r="195" spans="1:38" ht="24.95" customHeight="1">
      <c r="A195" s="26">
        <v>9</v>
      </c>
      <c r="B195" s="610" t="s">
        <v>74</v>
      </c>
      <c r="C195" s="123">
        <f>28-1</f>
        <v>27</v>
      </c>
      <c r="D195" s="123">
        <f>38+1</f>
        <v>39</v>
      </c>
      <c r="E195" s="123">
        <f>108-1-1</f>
        <v>106</v>
      </c>
      <c r="F195" s="397">
        <f t="shared" si="118"/>
        <v>172</v>
      </c>
      <c r="G195" s="421">
        <f t="shared" si="115"/>
        <v>35.1</v>
      </c>
      <c r="H195" s="123">
        <v>900</v>
      </c>
      <c r="I195" s="123">
        <f>293-1</f>
        <v>292</v>
      </c>
      <c r="J195" s="398">
        <f t="shared" si="102"/>
        <v>0</v>
      </c>
      <c r="K195" s="337">
        <f t="shared" si="103"/>
        <v>0</v>
      </c>
      <c r="L195" s="273">
        <f t="shared" si="104"/>
        <v>1</v>
      </c>
      <c r="M195" s="273">
        <f t="shared" si="105"/>
        <v>-1</v>
      </c>
      <c r="N195" s="273">
        <f t="shared" si="106"/>
        <v>0</v>
      </c>
      <c r="O195" s="26">
        <v>9</v>
      </c>
      <c r="P195" s="340" t="s">
        <v>74</v>
      </c>
      <c r="Q195" s="123">
        <f>26+1</f>
        <v>27</v>
      </c>
      <c r="R195" s="123">
        <f>35+3</f>
        <v>38</v>
      </c>
      <c r="S195" s="123">
        <f>108-1</f>
        <v>107</v>
      </c>
      <c r="T195" s="608">
        <f t="shared" si="107"/>
        <v>172</v>
      </c>
      <c r="U195" s="421">
        <f t="shared" si="116"/>
        <v>34.200000000000003</v>
      </c>
      <c r="V195" s="123">
        <v>900</v>
      </c>
      <c r="W195" s="123">
        <f>293-1</f>
        <v>292</v>
      </c>
      <c r="X195" s="398">
        <f t="shared" si="109"/>
        <v>0</v>
      </c>
      <c r="Y195" s="273">
        <f t="shared" si="97"/>
        <v>0</v>
      </c>
      <c r="Z195" s="273">
        <f t="shared" si="98"/>
        <v>2</v>
      </c>
      <c r="AA195">
        <f t="shared" si="112"/>
        <v>-2</v>
      </c>
      <c r="AB195" s="273">
        <f t="shared" si="100"/>
        <v>0</v>
      </c>
      <c r="AC195" s="26">
        <v>9</v>
      </c>
      <c r="AD195" s="27" t="s">
        <v>74</v>
      </c>
      <c r="AE195" s="123">
        <f>27-3+1</f>
        <v>25</v>
      </c>
      <c r="AF195" s="123">
        <f>35+3</f>
        <v>38</v>
      </c>
      <c r="AG195" s="123">
        <f>110-1</f>
        <v>109</v>
      </c>
      <c r="AH195" s="397">
        <f t="shared" si="119"/>
        <v>172</v>
      </c>
      <c r="AI195" s="328">
        <f t="shared" si="117"/>
        <v>34.200000000000003</v>
      </c>
      <c r="AJ195" s="123">
        <v>900</v>
      </c>
      <c r="AK195" s="123">
        <f>293-1</f>
        <v>292</v>
      </c>
      <c r="AL195" s="398"/>
    </row>
    <row r="196" spans="1:38" ht="24.95" customHeight="1">
      <c r="A196" s="26">
        <v>10</v>
      </c>
      <c r="B196" s="610" t="s">
        <v>75</v>
      </c>
      <c r="C196" s="123">
        <f>78-2</f>
        <v>76</v>
      </c>
      <c r="D196" s="123">
        <f>440+2-22</f>
        <v>420</v>
      </c>
      <c r="E196" s="123">
        <f>1020+22</f>
        <v>1042</v>
      </c>
      <c r="F196" s="397">
        <f t="shared" si="118"/>
        <v>1538</v>
      </c>
      <c r="G196" s="421">
        <f t="shared" si="115"/>
        <v>378</v>
      </c>
      <c r="H196" s="123">
        <v>900</v>
      </c>
      <c r="I196" s="123">
        <f>377-1</f>
        <v>376</v>
      </c>
      <c r="J196" s="398">
        <f t="shared" si="102"/>
        <v>0</v>
      </c>
      <c r="K196" s="337">
        <f t="shared" si="103"/>
        <v>-4</v>
      </c>
      <c r="L196" s="273">
        <f t="shared" si="104"/>
        <v>-18</v>
      </c>
      <c r="M196" s="273">
        <f t="shared" si="105"/>
        <v>22</v>
      </c>
      <c r="N196" s="273">
        <f t="shared" si="106"/>
        <v>0</v>
      </c>
      <c r="O196" s="26">
        <v>10</v>
      </c>
      <c r="P196" s="340" t="s">
        <v>75</v>
      </c>
      <c r="Q196" s="123">
        <f>30+50</f>
        <v>80</v>
      </c>
      <c r="R196" s="123">
        <f>435+5-2</f>
        <v>438</v>
      </c>
      <c r="S196" s="123">
        <f>1070-50</f>
        <v>1020</v>
      </c>
      <c r="T196" s="608">
        <f t="shared" si="107"/>
        <v>1538</v>
      </c>
      <c r="U196" s="421">
        <f t="shared" si="116"/>
        <v>394.2</v>
      </c>
      <c r="V196" s="123">
        <v>900</v>
      </c>
      <c r="W196" s="123">
        <f>377-1</f>
        <v>376</v>
      </c>
      <c r="X196" s="398">
        <f t="shared" si="109"/>
        <v>0</v>
      </c>
      <c r="Y196" s="273">
        <f t="shared" si="97"/>
        <v>8</v>
      </c>
      <c r="Z196" s="273">
        <f t="shared" si="98"/>
        <v>40</v>
      </c>
      <c r="AA196">
        <f t="shared" si="112"/>
        <v>-48</v>
      </c>
      <c r="AB196" s="273">
        <f t="shared" si="100"/>
        <v>0</v>
      </c>
      <c r="AC196" s="26">
        <v>10</v>
      </c>
      <c r="AD196" s="27" t="s">
        <v>75</v>
      </c>
      <c r="AE196" s="123">
        <v>40</v>
      </c>
      <c r="AF196" s="123">
        <v>430</v>
      </c>
      <c r="AG196" s="123">
        <f>1069-1</f>
        <v>1068</v>
      </c>
      <c r="AH196" s="397">
        <f t="shared" si="119"/>
        <v>1538</v>
      </c>
      <c r="AI196" s="328">
        <f t="shared" si="117"/>
        <v>387</v>
      </c>
      <c r="AJ196" s="123">
        <v>900</v>
      </c>
      <c r="AK196" s="123">
        <f>377-1</f>
        <v>376</v>
      </c>
      <c r="AL196" s="398"/>
    </row>
    <row r="197" spans="1:38" ht="24.95" customHeight="1">
      <c r="A197" s="26">
        <v>11</v>
      </c>
      <c r="B197" s="311" t="s">
        <v>76</v>
      </c>
      <c r="C197" s="123">
        <f>100-1</f>
        <v>99</v>
      </c>
      <c r="D197" s="123">
        <f>266+1</f>
        <v>267</v>
      </c>
      <c r="E197" s="123">
        <v>380</v>
      </c>
      <c r="F197" s="397">
        <f t="shared" ref="F197:F198" si="120">E197+D197+C197</f>
        <v>746</v>
      </c>
      <c r="G197" s="421">
        <f t="shared" si="115"/>
        <v>240.3</v>
      </c>
      <c r="H197" s="123">
        <v>900</v>
      </c>
      <c r="I197" s="123">
        <v>779</v>
      </c>
      <c r="J197" s="398">
        <f t="shared" si="102"/>
        <v>0</v>
      </c>
      <c r="K197" s="337">
        <f t="shared" si="103"/>
        <v>0</v>
      </c>
      <c r="L197" s="273">
        <f t="shared" si="104"/>
        <v>0</v>
      </c>
      <c r="M197" s="273">
        <f t="shared" si="105"/>
        <v>0</v>
      </c>
      <c r="N197" s="273">
        <f t="shared" si="106"/>
        <v>0</v>
      </c>
      <c r="O197" s="26">
        <v>11</v>
      </c>
      <c r="P197" s="368" t="s">
        <v>76</v>
      </c>
      <c r="Q197" s="123">
        <f>100-1</f>
        <v>99</v>
      </c>
      <c r="R197" s="123">
        <f>266+1</f>
        <v>267</v>
      </c>
      <c r="S197" s="123">
        <v>380</v>
      </c>
      <c r="T197" s="608">
        <f t="shared" si="107"/>
        <v>746</v>
      </c>
      <c r="U197" s="421">
        <f t="shared" si="116"/>
        <v>240.3</v>
      </c>
      <c r="V197" s="123">
        <v>900</v>
      </c>
      <c r="W197" s="123">
        <v>779</v>
      </c>
      <c r="X197" s="398">
        <f t="shared" si="109"/>
        <v>0</v>
      </c>
      <c r="Y197" s="273">
        <f t="shared" si="97"/>
        <v>58</v>
      </c>
      <c r="Z197" s="273">
        <f t="shared" si="98"/>
        <v>-58</v>
      </c>
      <c r="AA197">
        <f t="shared" si="112"/>
        <v>0</v>
      </c>
      <c r="AB197" s="273">
        <f t="shared" si="100"/>
        <v>0</v>
      </c>
      <c r="AC197" s="26">
        <v>11</v>
      </c>
      <c r="AD197" s="35" t="s">
        <v>76</v>
      </c>
      <c r="AE197" s="123">
        <v>157</v>
      </c>
      <c r="AF197" s="123">
        <v>209</v>
      </c>
      <c r="AG197" s="123">
        <v>380</v>
      </c>
      <c r="AH197" s="397">
        <f t="shared" ref="AH197" si="121">AG197+AF197+AE197</f>
        <v>746</v>
      </c>
      <c r="AI197" s="328">
        <f t="shared" si="117"/>
        <v>188.1</v>
      </c>
      <c r="AJ197" s="123">
        <v>900</v>
      </c>
      <c r="AK197" s="123">
        <v>779</v>
      </c>
      <c r="AL197" s="398"/>
    </row>
    <row r="198" spans="1:38" ht="24.95" customHeight="1">
      <c r="A198" s="664" t="s">
        <v>77</v>
      </c>
      <c r="B198" s="665"/>
      <c r="C198" s="404">
        <f>SUM(C187:C197)</f>
        <v>352</v>
      </c>
      <c r="D198" s="405">
        <f>SUM(D187:D197)</f>
        <v>1229.3</v>
      </c>
      <c r="E198" s="406">
        <f>SUM(E187:E197)</f>
        <v>2134.6999999999998</v>
      </c>
      <c r="F198" s="407">
        <f t="shared" si="120"/>
        <v>3716</v>
      </c>
      <c r="G198" s="560">
        <f>SUM(G187:G197)</f>
        <v>1106.3700000000001</v>
      </c>
      <c r="H198" s="317">
        <v>900</v>
      </c>
      <c r="I198" s="411">
        <f>SUM(I187:I197)</f>
        <v>8529</v>
      </c>
      <c r="J198" s="412">
        <f>SUM(J187:J197)</f>
        <v>-37.300000000000018</v>
      </c>
      <c r="K198" s="400">
        <f>SUM(K187:K197)</f>
        <v>19</v>
      </c>
      <c r="L198" s="400">
        <f t="shared" ref="L198:N198" si="122">SUM(L187:L197)</f>
        <v>-20</v>
      </c>
      <c r="M198" s="400">
        <f t="shared" si="122"/>
        <v>-36.300000000000018</v>
      </c>
      <c r="N198" s="400">
        <f t="shared" si="122"/>
        <v>-8</v>
      </c>
      <c r="O198" s="664" t="s">
        <v>77</v>
      </c>
      <c r="P198" s="665"/>
      <c r="Q198" s="416">
        <f>SUM(Q187:Q197)</f>
        <v>333</v>
      </c>
      <c r="R198" s="411">
        <f>SUM(R187:R197)</f>
        <v>1249.3</v>
      </c>
      <c r="S198" s="417">
        <f>SUM(S187:S197)</f>
        <v>2171</v>
      </c>
      <c r="T198" s="418">
        <f t="shared" ref="T198" si="123">S198+R198+Q198</f>
        <v>3753.3</v>
      </c>
      <c r="U198" s="411">
        <f>SUM(U187:U197)</f>
        <v>1124.3699999999999</v>
      </c>
      <c r="V198" s="317">
        <v>900</v>
      </c>
      <c r="W198" s="411">
        <f>SUM(W187:W197)</f>
        <v>8537</v>
      </c>
      <c r="X198" s="412">
        <f>X190+X192+X196</f>
        <v>-30.9</v>
      </c>
      <c r="Y198" s="273">
        <f>SUM(Y187:Y197)</f>
        <v>65</v>
      </c>
      <c r="Z198" s="273">
        <f t="shared" ref="Z198:AB198" si="124">SUM(Z187:Z197)</f>
        <v>-17</v>
      </c>
      <c r="AA198" s="273">
        <f t="shared" si="124"/>
        <v>-135.5</v>
      </c>
      <c r="AB198" s="273">
        <f t="shared" si="124"/>
        <v>-31</v>
      </c>
      <c r="AC198" s="664" t="s">
        <v>77</v>
      </c>
      <c r="AD198" s="665"/>
      <c r="AE198" s="416">
        <f>SUM(AE187:AE197)</f>
        <v>350</v>
      </c>
      <c r="AF198" s="411">
        <f>SUM(AF187:AF197)</f>
        <v>1184.3</v>
      </c>
      <c r="AG198" s="417">
        <f>SUM(AG187:AG197)</f>
        <v>2306.5</v>
      </c>
      <c r="AH198" s="418">
        <f t="shared" ref="AH198" si="125">AG198+AF198+AE198</f>
        <v>3840.8</v>
      </c>
      <c r="AI198" s="419">
        <f>SUM(AI187:AI197)</f>
        <v>1065.8699999999999</v>
      </c>
      <c r="AJ198" s="317">
        <v>900</v>
      </c>
      <c r="AK198" s="411">
        <f>SUM(AK187:AK197)</f>
        <v>8568</v>
      </c>
      <c r="AL198" s="412"/>
    </row>
    <row r="199" spans="1:38" ht="24.95" customHeight="1">
      <c r="C199" s="273">
        <f t="shared" ref="C199:E199" si="126">C198-Q198</f>
        <v>19</v>
      </c>
      <c r="D199" s="273">
        <f t="shared" si="126"/>
        <v>-20</v>
      </c>
      <c r="E199" s="273">
        <f t="shared" si="126"/>
        <v>-36.300000000000182</v>
      </c>
      <c r="F199" s="273">
        <f>F198-T198</f>
        <v>-37.300000000000182</v>
      </c>
      <c r="G199" s="273">
        <f t="shared" ref="G199:I199" si="127">G198-U198</f>
        <v>-17.999999999999773</v>
      </c>
      <c r="H199" s="273">
        <f t="shared" si="127"/>
        <v>0</v>
      </c>
      <c r="I199" s="273">
        <f t="shared" si="127"/>
        <v>-8</v>
      </c>
      <c r="Q199" s="273">
        <f t="shared" ref="Q199:W199" si="128">Q198-AE198</f>
        <v>-17</v>
      </c>
      <c r="R199" s="273">
        <f t="shared" si="128"/>
        <v>65</v>
      </c>
      <c r="S199" s="273">
        <f t="shared" si="128"/>
        <v>-135.5</v>
      </c>
      <c r="T199" s="273">
        <f t="shared" si="128"/>
        <v>-87.5</v>
      </c>
      <c r="U199" s="273">
        <f t="shared" si="128"/>
        <v>58.5</v>
      </c>
      <c r="V199" s="273">
        <f t="shared" si="128"/>
        <v>0</v>
      </c>
      <c r="W199" s="273">
        <f t="shared" si="128"/>
        <v>-31</v>
      </c>
      <c r="AA199" s="273"/>
      <c r="AB199" s="273"/>
    </row>
    <row r="200" spans="1:38" ht="24.95" customHeight="1">
      <c r="B200" s="6" t="s">
        <v>12</v>
      </c>
      <c r="C200" s="320" t="s">
        <v>33</v>
      </c>
      <c r="D200" s="2"/>
      <c r="E200" s="2"/>
      <c r="F200" s="118">
        <f>SUM(F187:F197)</f>
        <v>3716</v>
      </c>
      <c r="G200" s="1"/>
      <c r="P200" s="6" t="s">
        <v>12</v>
      </c>
      <c r="Q200" s="320" t="s">
        <v>33</v>
      </c>
      <c r="R200" s="2"/>
      <c r="S200" s="2"/>
      <c r="T200" s="118">
        <f>SUM(T187:T197)</f>
        <v>3753.3</v>
      </c>
      <c r="U200" s="1"/>
      <c r="AD200" s="385"/>
      <c r="AE200" s="118"/>
      <c r="AF200" s="118"/>
      <c r="AG200" s="118"/>
      <c r="AH200" s="118"/>
      <c r="AI200" s="1" t="s">
        <v>104</v>
      </c>
    </row>
    <row r="201" spans="1:38" ht="24.95" customHeight="1">
      <c r="B201" s="6" t="s">
        <v>13</v>
      </c>
      <c r="C201" s="320" t="s">
        <v>34</v>
      </c>
      <c r="D201" s="2"/>
      <c r="E201" s="2"/>
      <c r="G201" s="650"/>
      <c r="H201" s="637"/>
      <c r="I201" s="637"/>
      <c r="J201" s="637"/>
      <c r="K201" s="48"/>
      <c r="L201">
        <v>13.5</v>
      </c>
      <c r="P201" s="6" t="s">
        <v>13</v>
      </c>
      <c r="Q201" s="320" t="s">
        <v>34</v>
      </c>
      <c r="R201" s="2"/>
      <c r="S201" s="2"/>
      <c r="U201" s="650"/>
      <c r="V201" s="637"/>
      <c r="W201" s="637"/>
      <c r="X201" s="637"/>
      <c r="AI201" s="266" t="s">
        <v>105</v>
      </c>
      <c r="AJ201" s="323"/>
      <c r="AK201" s="323"/>
      <c r="AL201" s="323"/>
    </row>
    <row r="202" spans="1:38" ht="24.95" customHeight="1">
      <c r="B202" s="6" t="s">
        <v>14</v>
      </c>
      <c r="C202" s="320" t="s">
        <v>35</v>
      </c>
      <c r="D202" s="2"/>
      <c r="E202" s="2"/>
      <c r="G202" s="1"/>
      <c r="L202">
        <v>10.17</v>
      </c>
      <c r="P202" s="6" t="s">
        <v>14</v>
      </c>
      <c r="Q202" s="320" t="s">
        <v>35</v>
      </c>
      <c r="R202" s="2"/>
      <c r="S202" s="2"/>
      <c r="U202" s="1"/>
      <c r="AI202" s="1" t="s">
        <v>106</v>
      </c>
    </row>
    <row r="203" spans="1:38" ht="24.95" customHeight="1">
      <c r="B203" s="2"/>
      <c r="C203" s="2"/>
      <c r="D203" s="2"/>
      <c r="E203" s="2"/>
      <c r="G203" s="650"/>
      <c r="H203" s="650"/>
      <c r="I203" s="650"/>
      <c r="J203" s="650"/>
      <c r="K203" s="47"/>
      <c r="L203">
        <v>11.7</v>
      </c>
      <c r="P203" s="2"/>
      <c r="Q203" s="2"/>
      <c r="R203" s="2"/>
      <c r="S203" s="2"/>
      <c r="U203" s="650"/>
      <c r="V203" s="650"/>
      <c r="W203" s="650"/>
      <c r="X203" s="650"/>
      <c r="AI203" s="650"/>
      <c r="AJ203" s="650"/>
      <c r="AK203" s="650"/>
      <c r="AL203" s="650"/>
    </row>
    <row r="204" spans="1:38">
      <c r="G204" s="48"/>
      <c r="H204" s="48"/>
      <c r="I204" s="48"/>
      <c r="J204" s="48"/>
      <c r="K204" s="48"/>
      <c r="L204">
        <v>23.4</v>
      </c>
      <c r="U204" s="48"/>
      <c r="V204" s="48"/>
      <c r="W204" s="48"/>
      <c r="X204" s="48"/>
      <c r="AI204" s="48"/>
      <c r="AJ204" s="48"/>
      <c r="AK204" s="48"/>
      <c r="AL204" s="48"/>
    </row>
    <row r="205" spans="1:38">
      <c r="G205" s="637"/>
      <c r="H205" s="637"/>
      <c r="I205" s="637"/>
      <c r="J205" s="637"/>
      <c r="K205" s="48"/>
      <c r="L205">
        <v>230.4</v>
      </c>
      <c r="U205" s="637"/>
      <c r="V205" s="637"/>
      <c r="W205" s="637"/>
      <c r="X205" s="637"/>
      <c r="AI205" s="637"/>
      <c r="AJ205" s="637"/>
      <c r="AK205" s="637"/>
      <c r="AL205" s="637"/>
    </row>
    <row r="206" spans="1:38">
      <c r="G206" s="637"/>
      <c r="H206" s="637"/>
      <c r="I206" s="637"/>
      <c r="J206" s="637"/>
      <c r="K206" s="48"/>
      <c r="L206">
        <v>38.700000000000003</v>
      </c>
      <c r="U206" s="637"/>
      <c r="V206" s="637"/>
      <c r="W206" s="637"/>
      <c r="X206" s="637"/>
      <c r="AI206" s="637"/>
      <c r="AJ206" s="637"/>
      <c r="AK206" s="637"/>
      <c r="AL206" s="637"/>
    </row>
    <row r="207" spans="1:38">
      <c r="L207">
        <v>87.3</v>
      </c>
    </row>
    <row r="208" spans="1:38">
      <c r="L208">
        <v>40.5</v>
      </c>
    </row>
    <row r="209" spans="7:38" ht="15">
      <c r="G209" s="653"/>
      <c r="H209" s="653"/>
      <c r="I209" s="653"/>
      <c r="J209" s="653"/>
      <c r="K209" s="46"/>
      <c r="L209">
        <v>34.200000000000003</v>
      </c>
      <c r="U209" s="653"/>
      <c r="V209" s="653"/>
      <c r="W209" s="653"/>
      <c r="X209" s="653"/>
      <c r="AI209" s="653"/>
      <c r="AJ209" s="653"/>
      <c r="AK209" s="653"/>
      <c r="AL209" s="653"/>
    </row>
    <row r="210" spans="7:38">
      <c r="G210" s="637"/>
      <c r="H210" s="637"/>
      <c r="I210" s="637"/>
      <c r="J210" s="637"/>
      <c r="K210" s="48"/>
      <c r="L210">
        <v>396</v>
      </c>
      <c r="U210" s="637"/>
      <c r="V210" s="637"/>
      <c r="W210" s="637"/>
      <c r="X210" s="637"/>
      <c r="AI210" s="637"/>
      <c r="AJ210" s="637"/>
      <c r="AK210" s="637"/>
      <c r="AL210" s="637"/>
    </row>
    <row r="211" spans="7:38">
      <c r="G211" s="637"/>
      <c r="H211" s="637"/>
      <c r="I211" s="637"/>
      <c r="J211" s="637"/>
      <c r="K211" s="48"/>
      <c r="L211">
        <v>240.3</v>
      </c>
      <c r="U211" s="637"/>
      <c r="V211" s="637"/>
      <c r="W211" s="637"/>
      <c r="X211" s="637"/>
      <c r="AI211" s="637"/>
      <c r="AJ211" s="637"/>
      <c r="AK211" s="637"/>
      <c r="AL211" s="637"/>
    </row>
    <row r="212" spans="7:38">
      <c r="G212" s="48"/>
      <c r="H212" s="48"/>
      <c r="I212" s="48"/>
      <c r="J212" s="48"/>
      <c r="K212" s="48"/>
      <c r="U212" s="48"/>
      <c r="V212" s="48"/>
      <c r="W212" s="48"/>
      <c r="X212" s="48"/>
      <c r="AI212" s="48"/>
      <c r="AJ212" s="48"/>
      <c r="AK212" s="48"/>
      <c r="AL212" s="48"/>
    </row>
    <row r="213" spans="7:38">
      <c r="G213" s="48"/>
      <c r="H213" s="48"/>
      <c r="I213" s="48"/>
      <c r="J213" s="48"/>
      <c r="K213" s="48"/>
      <c r="U213" s="48"/>
      <c r="V213" s="48"/>
      <c r="W213" s="48"/>
      <c r="X213" s="48"/>
      <c r="AI213" s="48"/>
      <c r="AJ213" s="48"/>
      <c r="AK213" s="48"/>
      <c r="AL213" s="48"/>
    </row>
    <row r="214" spans="7:38">
      <c r="G214" s="48"/>
      <c r="H214" s="48"/>
      <c r="I214" s="48"/>
      <c r="J214" s="48"/>
      <c r="K214" s="48"/>
      <c r="U214" s="48"/>
      <c r="V214" s="48"/>
      <c r="W214" s="48"/>
      <c r="X214" s="48"/>
      <c r="AI214" s="48"/>
      <c r="AJ214" s="48"/>
      <c r="AK214" s="48"/>
      <c r="AL214" s="48"/>
    </row>
    <row r="215" spans="7:38">
      <c r="G215" s="48"/>
      <c r="H215" s="48"/>
      <c r="I215" s="48"/>
      <c r="J215" s="48"/>
      <c r="K215" s="48"/>
      <c r="U215" s="48"/>
      <c r="V215" s="48"/>
      <c r="W215" s="48"/>
      <c r="X215" s="48"/>
      <c r="AI215" s="48"/>
      <c r="AJ215" s="48"/>
      <c r="AK215" s="48"/>
      <c r="AL215" s="48"/>
    </row>
    <row r="216" spans="7:38">
      <c r="G216" s="48"/>
      <c r="H216" s="48"/>
      <c r="I216" s="48"/>
      <c r="J216" s="48"/>
      <c r="K216" s="48"/>
      <c r="U216" s="48"/>
      <c r="V216" s="48"/>
      <c r="W216" s="48"/>
      <c r="X216" s="48"/>
      <c r="AI216" s="48"/>
      <c r="AJ216" s="48"/>
      <c r="AK216" s="48"/>
      <c r="AL216" s="48"/>
    </row>
    <row r="217" spans="7:38">
      <c r="G217" s="48"/>
      <c r="H217" s="48"/>
      <c r="I217" s="48"/>
      <c r="J217" s="48"/>
      <c r="K217" s="48"/>
      <c r="U217" s="48"/>
      <c r="V217" s="48"/>
      <c r="W217" s="48"/>
      <c r="X217" s="48"/>
      <c r="AI217" s="48"/>
      <c r="AJ217" s="48"/>
      <c r="AK217" s="48"/>
      <c r="AL217" s="48"/>
    </row>
    <row r="218" spans="7:38">
      <c r="G218" s="48"/>
      <c r="H218" s="48"/>
      <c r="I218" s="48"/>
      <c r="J218" s="48"/>
      <c r="K218" s="48"/>
      <c r="U218" s="48"/>
      <c r="V218" s="48"/>
      <c r="W218" s="48"/>
      <c r="X218" s="48"/>
      <c r="AI218" s="48"/>
      <c r="AJ218" s="48"/>
      <c r="AK218" s="48"/>
      <c r="AL218" s="48"/>
    </row>
    <row r="219" spans="7:38">
      <c r="G219" s="48"/>
      <c r="H219" s="48"/>
      <c r="I219" s="48"/>
      <c r="J219" s="48"/>
      <c r="K219" s="48"/>
      <c r="U219" s="48"/>
      <c r="V219" s="48"/>
      <c r="W219" s="48"/>
      <c r="X219" s="48"/>
      <c r="AI219" s="48"/>
      <c r="AJ219" s="48"/>
      <c r="AK219" s="48"/>
      <c r="AL219" s="48"/>
    </row>
    <row r="220" spans="7:38">
      <c r="G220" s="48"/>
      <c r="H220" s="48"/>
      <c r="I220" s="48"/>
      <c r="J220" s="48"/>
      <c r="K220" s="48"/>
      <c r="U220" s="48"/>
      <c r="V220" s="48"/>
      <c r="W220" s="48"/>
      <c r="X220" s="48"/>
      <c r="AI220" s="48"/>
      <c r="AJ220" s="48"/>
      <c r="AK220" s="48"/>
      <c r="AL220" s="48"/>
    </row>
    <row r="221" spans="7:38">
      <c r="G221" s="48"/>
      <c r="H221" s="48"/>
      <c r="I221" s="48"/>
      <c r="J221" s="48"/>
      <c r="K221" s="48"/>
      <c r="U221" s="48"/>
      <c r="V221" s="48"/>
      <c r="W221" s="48"/>
      <c r="X221" s="48"/>
      <c r="AI221" s="48"/>
      <c r="AJ221" s="48"/>
      <c r="AK221" s="48"/>
      <c r="AL221" s="48"/>
    </row>
    <row r="222" spans="7:38">
      <c r="G222" s="48"/>
      <c r="H222" s="48"/>
      <c r="I222" s="48"/>
      <c r="J222" s="48"/>
      <c r="K222" s="48"/>
      <c r="U222" s="48"/>
      <c r="V222" s="48"/>
      <c r="W222" s="48"/>
      <c r="X222" s="48"/>
      <c r="AI222" s="48"/>
      <c r="AJ222" s="48"/>
      <c r="AK222" s="48"/>
      <c r="AL222" s="48"/>
    </row>
    <row r="223" spans="7:38">
      <c r="G223" s="48"/>
      <c r="H223" s="48"/>
      <c r="I223" s="48"/>
      <c r="J223" s="48"/>
      <c r="K223" s="48"/>
      <c r="U223" s="48"/>
      <c r="V223" s="48"/>
      <c r="W223" s="48"/>
      <c r="X223" s="48"/>
      <c r="AI223" s="48"/>
      <c r="AJ223" s="48"/>
      <c r="AK223" s="48"/>
      <c r="AL223" s="48"/>
    </row>
    <row r="224" spans="7:38">
      <c r="G224" s="48"/>
      <c r="H224" s="48"/>
      <c r="I224" s="48"/>
      <c r="J224" s="48"/>
      <c r="K224" s="48"/>
      <c r="U224" s="48"/>
      <c r="V224" s="48"/>
      <c r="W224" s="48"/>
      <c r="X224" s="48"/>
      <c r="AI224" s="48"/>
      <c r="AJ224" s="48"/>
      <c r="AK224" s="48"/>
      <c r="AL224" s="48"/>
    </row>
    <row r="225" spans="1:38" ht="24.95" customHeight="1">
      <c r="G225" s="48"/>
      <c r="H225" s="48"/>
      <c r="I225" s="48"/>
      <c r="J225" s="48"/>
      <c r="K225" s="48"/>
      <c r="U225" s="48"/>
      <c r="V225" s="48"/>
      <c r="W225" s="48"/>
      <c r="X225" s="48"/>
      <c r="AI225" s="48"/>
      <c r="AJ225" s="48"/>
      <c r="AK225" s="48"/>
      <c r="AL225" s="48"/>
    </row>
    <row r="226" spans="1:38" ht="24.95" customHeight="1">
      <c r="A226" s="632" t="s">
        <v>59</v>
      </c>
      <c r="B226" s="632"/>
      <c r="C226" s="632"/>
      <c r="D226" s="632"/>
      <c r="E226" s="632"/>
      <c r="F226" s="632"/>
      <c r="G226" s="632"/>
      <c r="H226" s="632"/>
      <c r="I226" s="632"/>
      <c r="J226" s="632"/>
      <c r="K226" s="296"/>
      <c r="O226" s="632" t="s">
        <v>59</v>
      </c>
      <c r="P226" s="632"/>
      <c r="Q226" s="632"/>
      <c r="R226" s="632"/>
      <c r="S226" s="632"/>
      <c r="T226" s="632"/>
      <c r="U226" s="632"/>
      <c r="V226" s="632"/>
      <c r="W226" s="632"/>
      <c r="X226" s="632"/>
      <c r="AC226" s="663" t="s">
        <v>59</v>
      </c>
      <c r="AD226" s="663"/>
      <c r="AE226" s="663"/>
      <c r="AF226" s="663"/>
      <c r="AG226" s="663"/>
      <c r="AH226" s="663"/>
      <c r="AI226" s="663"/>
      <c r="AJ226" s="663"/>
      <c r="AK226" s="663"/>
      <c r="AL226" s="663"/>
    </row>
    <row r="227" spans="1:38" ht="24.95" customHeight="1">
      <c r="A227" s="632" t="s">
        <v>1</v>
      </c>
      <c r="B227" s="632"/>
      <c r="C227" s="632"/>
      <c r="D227" s="632"/>
      <c r="E227" s="632"/>
      <c r="F227" s="632"/>
      <c r="G227" s="632"/>
      <c r="H227" s="632"/>
      <c r="I227" s="632"/>
      <c r="J227" s="632"/>
      <c r="K227" s="296"/>
      <c r="O227" s="632" t="s">
        <v>1</v>
      </c>
      <c r="P227" s="632"/>
      <c r="Q227" s="632"/>
      <c r="R227" s="632"/>
      <c r="S227" s="632"/>
      <c r="T227" s="632"/>
      <c r="U227" s="632"/>
      <c r="V227" s="632"/>
      <c r="W227" s="632"/>
      <c r="X227" s="632"/>
      <c r="AC227" s="663" t="s">
        <v>1</v>
      </c>
      <c r="AD227" s="663"/>
      <c r="AE227" s="663"/>
      <c r="AF227" s="663"/>
      <c r="AG227" s="663"/>
      <c r="AH227" s="663"/>
      <c r="AI227" s="663"/>
      <c r="AJ227" s="663"/>
      <c r="AK227" s="663"/>
      <c r="AL227" s="663"/>
    </row>
    <row r="228" spans="1:38" ht="24.95" customHeight="1">
      <c r="A228" s="632" t="s">
        <v>206</v>
      </c>
      <c r="B228" s="632"/>
      <c r="C228" s="632"/>
      <c r="D228" s="632"/>
      <c r="E228" s="632"/>
      <c r="F228" s="632"/>
      <c r="G228" s="632"/>
      <c r="H228" s="632"/>
      <c r="I228" s="632"/>
      <c r="J228" s="632"/>
      <c r="K228" s="623"/>
      <c r="O228" s="632" t="s">
        <v>60</v>
      </c>
      <c r="P228" s="632"/>
      <c r="Q228" s="632"/>
      <c r="R228" s="632"/>
      <c r="S228" s="632"/>
      <c r="T228" s="632"/>
      <c r="U228" s="632"/>
      <c r="V228" s="632"/>
      <c r="W228" s="632"/>
      <c r="X228" s="632"/>
      <c r="AC228" s="663" t="s">
        <v>107</v>
      </c>
      <c r="AD228" s="663"/>
      <c r="AE228" s="663"/>
      <c r="AF228" s="663"/>
      <c r="AG228" s="663"/>
      <c r="AH228" s="663"/>
      <c r="AI228" s="663"/>
      <c r="AJ228" s="663"/>
      <c r="AK228" s="663"/>
      <c r="AL228" s="663"/>
    </row>
    <row r="229" spans="1:38" ht="24.95" customHeight="1"/>
    <row r="230" spans="1:38" ht="24.95" customHeight="1">
      <c r="A230" t="s">
        <v>61</v>
      </c>
      <c r="C230" s="202" t="s">
        <v>85</v>
      </c>
      <c r="O230" t="s">
        <v>61</v>
      </c>
      <c r="Q230" s="202" t="s">
        <v>85</v>
      </c>
      <c r="AC230" t="s">
        <v>61</v>
      </c>
      <c r="AE230" t="s">
        <v>85</v>
      </c>
    </row>
    <row r="231" spans="1:38" ht="24.95" customHeight="1">
      <c r="A231" s="1"/>
      <c r="E231" s="1"/>
      <c r="O231" s="1"/>
      <c r="S231" s="1"/>
      <c r="AC231" s="1"/>
      <c r="AG231" s="1"/>
    </row>
    <row r="232" spans="1:38" ht="30" customHeight="1">
      <c r="A232" s="297" t="s">
        <v>4</v>
      </c>
      <c r="B232" s="298" t="s">
        <v>63</v>
      </c>
      <c r="C232" s="298" t="s">
        <v>12</v>
      </c>
      <c r="D232" s="298" t="s">
        <v>13</v>
      </c>
      <c r="E232" s="298" t="s">
        <v>14</v>
      </c>
      <c r="F232" s="299" t="s">
        <v>86</v>
      </c>
      <c r="G232" s="299" t="s">
        <v>8</v>
      </c>
      <c r="H232" s="299" t="s">
        <v>9</v>
      </c>
      <c r="I232" s="299" t="s">
        <v>10</v>
      </c>
      <c r="J232" s="330" t="s">
        <v>11</v>
      </c>
      <c r="K232" s="612" t="s">
        <v>102</v>
      </c>
      <c r="O232" s="297" t="s">
        <v>4</v>
      </c>
      <c r="P232" s="298" t="s">
        <v>63</v>
      </c>
      <c r="Q232" s="298" t="s">
        <v>12</v>
      </c>
      <c r="R232" s="298" t="s">
        <v>13</v>
      </c>
      <c r="S232" s="298" t="s">
        <v>14</v>
      </c>
      <c r="T232" s="299" t="s">
        <v>86</v>
      </c>
      <c r="U232" s="299" t="s">
        <v>8</v>
      </c>
      <c r="V232" s="299" t="s">
        <v>9</v>
      </c>
      <c r="W232" s="299" t="s">
        <v>10</v>
      </c>
      <c r="X232" s="330" t="s">
        <v>11</v>
      </c>
      <c r="Z232" s="357" t="s">
        <v>103</v>
      </c>
      <c r="AC232" s="297" t="s">
        <v>4</v>
      </c>
      <c r="AD232" s="298" t="s">
        <v>63</v>
      </c>
      <c r="AE232" s="298" t="s">
        <v>12</v>
      </c>
      <c r="AF232" s="298" t="s">
        <v>13</v>
      </c>
      <c r="AG232" s="298" t="s">
        <v>14</v>
      </c>
      <c r="AH232" s="299" t="s">
        <v>86</v>
      </c>
      <c r="AI232" s="299" t="s">
        <v>8</v>
      </c>
      <c r="AJ232" s="299" t="s">
        <v>9</v>
      </c>
      <c r="AK232" s="299" t="s">
        <v>10</v>
      </c>
      <c r="AL232" s="330" t="s">
        <v>11</v>
      </c>
    </row>
    <row r="233" spans="1:38" ht="24.95" customHeight="1">
      <c r="A233" s="300">
        <v>1</v>
      </c>
      <c r="B233" s="301">
        <v>2</v>
      </c>
      <c r="C233" s="301">
        <v>3</v>
      </c>
      <c r="D233" s="301">
        <v>4</v>
      </c>
      <c r="E233" s="301">
        <v>5</v>
      </c>
      <c r="F233" s="301">
        <v>6</v>
      </c>
      <c r="G233" s="301">
        <v>7</v>
      </c>
      <c r="H233" s="301">
        <v>8</v>
      </c>
      <c r="I233" s="301">
        <v>9</v>
      </c>
      <c r="J233" s="333">
        <v>10</v>
      </c>
      <c r="K233" s="334" t="s">
        <v>12</v>
      </c>
      <c r="L233" s="1" t="s">
        <v>13</v>
      </c>
      <c r="M233" s="1" t="s">
        <v>14</v>
      </c>
      <c r="N233" s="1" t="s">
        <v>65</v>
      </c>
      <c r="O233" s="300">
        <v>1</v>
      </c>
      <c r="P233" s="301">
        <v>2</v>
      </c>
      <c r="Q233" s="301">
        <v>3</v>
      </c>
      <c r="R233" s="301">
        <v>4</v>
      </c>
      <c r="S233" s="301">
        <v>5</v>
      </c>
      <c r="T233" s="301">
        <v>6</v>
      </c>
      <c r="U233" s="301">
        <v>7</v>
      </c>
      <c r="V233" s="301">
        <v>8</v>
      </c>
      <c r="W233" s="301">
        <v>9</v>
      </c>
      <c r="X233" s="333">
        <v>10</v>
      </c>
      <c r="Y233" s="1" t="s">
        <v>12</v>
      </c>
      <c r="Z233" s="1" t="s">
        <v>13</v>
      </c>
      <c r="AA233" s="1" t="s">
        <v>14</v>
      </c>
      <c r="AB233" s="403" t="s">
        <v>97</v>
      </c>
      <c r="AC233" s="300">
        <v>1</v>
      </c>
      <c r="AD233" s="301">
        <v>2</v>
      </c>
      <c r="AE233" s="301">
        <v>3</v>
      </c>
      <c r="AF233" s="301">
        <v>4</v>
      </c>
      <c r="AG233" s="301">
        <v>5</v>
      </c>
      <c r="AH233" s="301">
        <v>6</v>
      </c>
      <c r="AI233" s="301">
        <v>7</v>
      </c>
      <c r="AJ233" s="301">
        <v>8</v>
      </c>
      <c r="AK233" s="301">
        <v>9</v>
      </c>
      <c r="AL233" s="333">
        <v>10</v>
      </c>
    </row>
    <row r="234" spans="1:38" ht="24.95" customHeight="1">
      <c r="A234" s="16">
        <v>1</v>
      </c>
      <c r="B234" s="625" t="s">
        <v>82</v>
      </c>
      <c r="C234" s="408">
        <f>2+1</f>
        <v>3</v>
      </c>
      <c r="D234" s="392">
        <f>7-1</f>
        <v>6</v>
      </c>
      <c r="E234" s="392">
        <f>14+1-1</f>
        <v>14</v>
      </c>
      <c r="F234" s="392">
        <f>E234+D234+C234</f>
        <v>23</v>
      </c>
      <c r="G234" s="564">
        <f>H234/1000*D234</f>
        <v>2.2439999999999998</v>
      </c>
      <c r="H234" s="123">
        <v>374</v>
      </c>
      <c r="I234" s="123">
        <v>31</v>
      </c>
      <c r="J234" s="124">
        <f>F234-T234</f>
        <v>0</v>
      </c>
      <c r="K234" s="380">
        <f>C234-Q234</f>
        <v>1</v>
      </c>
      <c r="L234" s="413">
        <f>D234-R234</f>
        <v>0</v>
      </c>
      <c r="M234" s="413">
        <f>E234-S234</f>
        <v>-1</v>
      </c>
      <c r="N234" s="414">
        <f>I234-W234</f>
        <v>0</v>
      </c>
      <c r="O234" s="16">
        <v>1</v>
      </c>
      <c r="P234" s="338" t="s">
        <v>82</v>
      </c>
      <c r="Q234" s="408">
        <v>2</v>
      </c>
      <c r="R234" s="392">
        <f>7-1</f>
        <v>6</v>
      </c>
      <c r="S234" s="392">
        <f>14+1</f>
        <v>15</v>
      </c>
      <c r="T234" s="392">
        <f>S234+R234+Q234</f>
        <v>23</v>
      </c>
      <c r="U234" s="328">
        <f>V234/1000*R234</f>
        <v>2.2439999999999998</v>
      </c>
      <c r="V234" s="123">
        <v>374</v>
      </c>
      <c r="W234" s="123">
        <v>31</v>
      </c>
      <c r="X234" s="545" t="s">
        <v>111</v>
      </c>
      <c r="Y234" s="372"/>
      <c r="Z234" s="372"/>
      <c r="AA234" s="372"/>
      <c r="AB234" s="372"/>
      <c r="AC234" s="16">
        <v>1</v>
      </c>
      <c r="AD234" s="17" t="s">
        <v>82</v>
      </c>
      <c r="AE234" s="408">
        <v>2</v>
      </c>
      <c r="AF234" s="392">
        <v>7</v>
      </c>
      <c r="AG234" s="392">
        <f>16-2</f>
        <v>14</v>
      </c>
      <c r="AH234" s="392">
        <f>AG234+AF234+AE234</f>
        <v>23</v>
      </c>
      <c r="AI234" s="328">
        <f>AJ234/1000*AF234</f>
        <v>2.6179999999999999</v>
      </c>
      <c r="AJ234" s="123">
        <v>374</v>
      </c>
      <c r="AK234" s="123">
        <v>31</v>
      </c>
      <c r="AL234" s="347"/>
    </row>
    <row r="235" spans="1:38" ht="24.95" customHeight="1">
      <c r="A235" s="22">
        <v>2</v>
      </c>
      <c r="B235" s="626" t="s">
        <v>67</v>
      </c>
      <c r="C235" s="408">
        <f>30.3-0.5+0.2-13</f>
        <v>17</v>
      </c>
      <c r="D235" s="392">
        <f>4+13-9</f>
        <v>8</v>
      </c>
      <c r="E235" s="392">
        <f>0.3+0.5+9-8</f>
        <v>1.8000000000000007</v>
      </c>
      <c r="F235" s="392">
        <f t="shared" ref="F235" si="129">E235+D235+C235</f>
        <v>26.8</v>
      </c>
      <c r="G235" s="564">
        <f>H235/1000*D235</f>
        <v>2.992</v>
      </c>
      <c r="H235" s="123">
        <v>374</v>
      </c>
      <c r="I235" s="123">
        <f>156-4</f>
        <v>152</v>
      </c>
      <c r="J235" s="124">
        <f t="shared" ref="J235:J241" si="130">F235-T235</f>
        <v>0</v>
      </c>
      <c r="K235" s="380">
        <f t="shared" ref="K235:K241" si="131">C235-Q235</f>
        <v>0</v>
      </c>
      <c r="L235" s="413">
        <f t="shared" ref="L235:L241" si="132">D235-R235</f>
        <v>0</v>
      </c>
      <c r="M235" s="413">
        <f t="shared" ref="M235:M241" si="133">E235-S235</f>
        <v>0</v>
      </c>
      <c r="N235" s="414">
        <f t="shared" ref="N235:N241" si="134">I235-W235</f>
        <v>0</v>
      </c>
      <c r="O235" s="22">
        <v>2</v>
      </c>
      <c r="P235" s="339" t="s">
        <v>67</v>
      </c>
      <c r="Q235" s="408">
        <f>30.3-0.5+0.2-13</f>
        <v>17</v>
      </c>
      <c r="R235" s="392">
        <f>4+13-9</f>
        <v>8</v>
      </c>
      <c r="S235" s="392">
        <f>0.3+0.5+9-8</f>
        <v>1.8000000000000007</v>
      </c>
      <c r="T235" s="392">
        <f t="shared" ref="T235" si="135">S235+R235+Q235</f>
        <v>26.8</v>
      </c>
      <c r="U235" s="328">
        <f>V235/1000*R235</f>
        <v>2.992</v>
      </c>
      <c r="V235" s="123">
        <v>374</v>
      </c>
      <c r="W235" s="123">
        <f>156-4</f>
        <v>152</v>
      </c>
      <c r="X235" s="124">
        <f t="shared" ref="X235:X240" si="136">T235-AH235</f>
        <v>-7.8000000000000007</v>
      </c>
      <c r="Y235" s="372"/>
      <c r="Z235" s="372"/>
      <c r="AA235" s="372"/>
      <c r="AB235" s="372"/>
      <c r="AC235" s="22">
        <v>2</v>
      </c>
      <c r="AD235" s="23" t="s">
        <v>67</v>
      </c>
      <c r="AE235" s="408">
        <f>30.3-0.5</f>
        <v>29.8</v>
      </c>
      <c r="AF235" s="392">
        <v>4</v>
      </c>
      <c r="AG235" s="392">
        <f>0.3+0.5</f>
        <v>0.8</v>
      </c>
      <c r="AH235" s="392">
        <f t="shared" ref="AH235" si="137">AG235+AF235+AE235</f>
        <v>34.6</v>
      </c>
      <c r="AI235" s="328">
        <f>AJ235/1000*AF235</f>
        <v>1.496</v>
      </c>
      <c r="AJ235" s="123">
        <v>374</v>
      </c>
      <c r="AK235" s="123">
        <v>156</v>
      </c>
      <c r="AL235" s="398"/>
    </row>
    <row r="236" spans="1:38" ht="24.95" customHeight="1">
      <c r="A236" s="26">
        <v>3</v>
      </c>
      <c r="B236" s="438" t="s">
        <v>68</v>
      </c>
      <c r="C236" s="408">
        <v>0</v>
      </c>
      <c r="D236" s="392">
        <v>1</v>
      </c>
      <c r="E236" s="408">
        <v>0</v>
      </c>
      <c r="F236" s="392">
        <f>D236</f>
        <v>1</v>
      </c>
      <c r="G236" s="564">
        <f>H236/1000*D236</f>
        <v>0.374</v>
      </c>
      <c r="H236" s="123">
        <v>374</v>
      </c>
      <c r="I236" s="123">
        <v>42</v>
      </c>
      <c r="J236" s="124">
        <f t="shared" si="130"/>
        <v>0</v>
      </c>
      <c r="K236" s="380"/>
      <c r="L236" s="413">
        <f t="shared" si="132"/>
        <v>0</v>
      </c>
      <c r="M236" s="413"/>
      <c r="N236" s="414">
        <f t="shared" si="134"/>
        <v>0</v>
      </c>
      <c r="O236" s="26">
        <v>3</v>
      </c>
      <c r="P236" s="27" t="s">
        <v>68</v>
      </c>
      <c r="Q236" s="408">
        <v>0</v>
      </c>
      <c r="R236" s="392">
        <v>1</v>
      </c>
      <c r="S236" s="408">
        <v>0</v>
      </c>
      <c r="T236" s="392">
        <f>R236</f>
        <v>1</v>
      </c>
      <c r="U236" s="328">
        <f>V236/1000*R236</f>
        <v>0.374</v>
      </c>
      <c r="V236" s="123">
        <v>374</v>
      </c>
      <c r="W236" s="123">
        <v>42</v>
      </c>
      <c r="X236" s="124">
        <f t="shared" si="136"/>
        <v>0</v>
      </c>
      <c r="Y236" s="372"/>
      <c r="Z236" s="372"/>
      <c r="AA236" s="372"/>
      <c r="AB236" s="372"/>
      <c r="AC236" s="26">
        <v>3</v>
      </c>
      <c r="AD236" s="27" t="s">
        <v>68</v>
      </c>
      <c r="AE236" s="408" t="s">
        <v>20</v>
      </c>
      <c r="AF236" s="392">
        <v>1</v>
      </c>
      <c r="AG236" s="408" t="s">
        <v>20</v>
      </c>
      <c r="AH236" s="392">
        <f>AF236</f>
        <v>1</v>
      </c>
      <c r="AI236" s="328">
        <f>AJ236/1000*AF236</f>
        <v>0.374</v>
      </c>
      <c r="AJ236" s="123">
        <v>374</v>
      </c>
      <c r="AK236" s="123">
        <v>42</v>
      </c>
      <c r="AL236" s="420"/>
    </row>
    <row r="237" spans="1:38" ht="24.95" customHeight="1">
      <c r="A237" s="26">
        <v>4</v>
      </c>
      <c r="B237" s="438" t="s">
        <v>69</v>
      </c>
      <c r="C237" s="392">
        <v>0</v>
      </c>
      <c r="D237" s="392">
        <v>0</v>
      </c>
      <c r="E237" s="392">
        <v>0</v>
      </c>
      <c r="F237" s="392">
        <v>0</v>
      </c>
      <c r="G237" s="564">
        <v>0</v>
      </c>
      <c r="H237" s="392">
        <v>0</v>
      </c>
      <c r="I237" s="392">
        <v>0</v>
      </c>
      <c r="J237" s="124">
        <f t="shared" si="130"/>
        <v>0</v>
      </c>
      <c r="K237" s="380">
        <f t="shared" si="131"/>
        <v>0</v>
      </c>
      <c r="L237" s="413">
        <f t="shared" si="132"/>
        <v>0</v>
      </c>
      <c r="M237" s="413"/>
      <c r="N237" s="414">
        <f t="shared" si="134"/>
        <v>0</v>
      </c>
      <c r="O237" s="26">
        <v>4</v>
      </c>
      <c r="P237" s="27" t="s">
        <v>69</v>
      </c>
      <c r="Q237" s="392">
        <v>0</v>
      </c>
      <c r="R237" s="392">
        <v>0</v>
      </c>
      <c r="S237" s="392">
        <v>0</v>
      </c>
      <c r="T237" s="392">
        <v>0</v>
      </c>
      <c r="U237" s="392">
        <v>0</v>
      </c>
      <c r="V237" s="392">
        <v>0</v>
      </c>
      <c r="W237" s="392">
        <v>0</v>
      </c>
      <c r="X237" s="124">
        <f t="shared" si="136"/>
        <v>0</v>
      </c>
      <c r="Y237" s="372"/>
      <c r="Z237" s="372"/>
      <c r="AA237" s="372"/>
      <c r="AB237" s="372"/>
      <c r="AC237" s="26">
        <v>4</v>
      </c>
      <c r="AD237" s="27" t="s">
        <v>69</v>
      </c>
      <c r="AE237" s="392">
        <v>0</v>
      </c>
      <c r="AF237" s="392">
        <v>0</v>
      </c>
      <c r="AG237" s="546" t="s">
        <v>20</v>
      </c>
      <c r="AH237" s="392">
        <v>0</v>
      </c>
      <c r="AI237" s="97" t="s">
        <v>20</v>
      </c>
      <c r="AJ237" s="394" t="s">
        <v>20</v>
      </c>
      <c r="AK237" s="123">
        <v>0</v>
      </c>
      <c r="AL237" s="347"/>
    </row>
    <row r="238" spans="1:38" ht="24.95" customHeight="1">
      <c r="A238" s="26">
        <v>5</v>
      </c>
      <c r="B238" s="627" t="s">
        <v>70</v>
      </c>
      <c r="C238" s="392">
        <f>11+3</f>
        <v>14</v>
      </c>
      <c r="D238" s="392">
        <f>30-3</f>
        <v>27</v>
      </c>
      <c r="E238" s="408">
        <f>0+3-3</f>
        <v>0</v>
      </c>
      <c r="F238" s="392">
        <f>C238+D238</f>
        <v>41</v>
      </c>
      <c r="G238" s="564">
        <f>H238/1000*D238</f>
        <v>10.098000000000001</v>
      </c>
      <c r="H238" s="123">
        <v>374</v>
      </c>
      <c r="I238" s="123">
        <f>199-1</f>
        <v>198</v>
      </c>
      <c r="J238" s="124">
        <f t="shared" si="130"/>
        <v>0</v>
      </c>
      <c r="K238" s="380">
        <f t="shared" si="131"/>
        <v>3</v>
      </c>
      <c r="L238" s="413">
        <f t="shared" si="132"/>
        <v>-3</v>
      </c>
      <c r="M238" s="413"/>
      <c r="N238" s="414">
        <f t="shared" si="134"/>
        <v>0</v>
      </c>
      <c r="O238" s="26">
        <v>5</v>
      </c>
      <c r="P238" s="415" t="s">
        <v>70</v>
      </c>
      <c r="Q238" s="392">
        <f>13-2</f>
        <v>11</v>
      </c>
      <c r="R238" s="392">
        <f>31+2-3</f>
        <v>30</v>
      </c>
      <c r="S238" s="408">
        <f>0+3-3</f>
        <v>0</v>
      </c>
      <c r="T238" s="392">
        <f>Q238+R238</f>
        <v>41</v>
      </c>
      <c r="U238" s="328">
        <f>V238/1000*R238</f>
        <v>11.22</v>
      </c>
      <c r="V238" s="123">
        <v>374</v>
      </c>
      <c r="W238" s="123">
        <f>199-1</f>
        <v>198</v>
      </c>
      <c r="X238" s="124">
        <f t="shared" si="136"/>
        <v>-3</v>
      </c>
      <c r="Y238" s="372"/>
      <c r="Z238" s="372"/>
      <c r="AA238" s="372"/>
      <c r="AB238" s="372"/>
      <c r="AC238" s="26">
        <v>5</v>
      </c>
      <c r="AD238" s="32" t="s">
        <v>70</v>
      </c>
      <c r="AE238" s="392">
        <v>13</v>
      </c>
      <c r="AF238" s="392">
        <v>31</v>
      </c>
      <c r="AG238" s="408" t="s">
        <v>20</v>
      </c>
      <c r="AH238" s="392">
        <f>AE238+AF238</f>
        <v>44</v>
      </c>
      <c r="AI238" s="328">
        <f>AJ238/1000*AF238</f>
        <v>11.593999999999999</v>
      </c>
      <c r="AJ238" s="123">
        <v>374</v>
      </c>
      <c r="AK238" s="123">
        <v>199</v>
      </c>
      <c r="AL238" s="347"/>
    </row>
    <row r="239" spans="1:38" ht="24.95" customHeight="1">
      <c r="A239" s="26">
        <v>6</v>
      </c>
      <c r="B239" s="438" t="s">
        <v>71</v>
      </c>
      <c r="C239" s="392">
        <f>8+2</f>
        <v>10</v>
      </c>
      <c r="D239" s="392">
        <f>22-4</f>
        <v>18</v>
      </c>
      <c r="E239" s="392">
        <f>4-2</f>
        <v>2</v>
      </c>
      <c r="F239" s="392">
        <f t="shared" ref="F239:F241" si="138">E239+D239+C239</f>
        <v>30</v>
      </c>
      <c r="G239" s="564">
        <f t="shared" ref="G239:G241" si="139">H239/1000*D239</f>
        <v>6.7320000000000002</v>
      </c>
      <c r="H239" s="123">
        <v>374</v>
      </c>
      <c r="I239" s="123">
        <v>60</v>
      </c>
      <c r="J239" s="124">
        <f t="shared" si="130"/>
        <v>0</v>
      </c>
      <c r="K239" s="380">
        <f t="shared" si="131"/>
        <v>2</v>
      </c>
      <c r="L239" s="413">
        <f t="shared" si="132"/>
        <v>-4</v>
      </c>
      <c r="M239" s="413">
        <f t="shared" si="133"/>
        <v>2</v>
      </c>
      <c r="N239" s="414">
        <f t="shared" si="134"/>
        <v>0</v>
      </c>
      <c r="O239" s="26">
        <v>6</v>
      </c>
      <c r="P239" s="340" t="s">
        <v>71</v>
      </c>
      <c r="Q239" s="392">
        <f>4+4</f>
        <v>8</v>
      </c>
      <c r="R239" s="392">
        <f>17+6-1</f>
        <v>22</v>
      </c>
      <c r="S239" s="392">
        <f>4-4</f>
        <v>0</v>
      </c>
      <c r="T239" s="392">
        <f t="shared" ref="T239:T241" si="140">S239+R239+Q239</f>
        <v>30</v>
      </c>
      <c r="U239" s="328">
        <f t="shared" ref="U239:U241" si="141">V239/1000*R239</f>
        <v>8.2279999999999998</v>
      </c>
      <c r="V239" s="123">
        <v>374</v>
      </c>
      <c r="W239" s="123">
        <v>60</v>
      </c>
      <c r="X239" s="124">
        <f t="shared" si="136"/>
        <v>0</v>
      </c>
      <c r="Y239" s="372">
        <f>Q239-AE239</f>
        <v>-2</v>
      </c>
      <c r="Z239" s="372">
        <f>R239-AF239</f>
        <v>5</v>
      </c>
      <c r="AA239" s="372">
        <f>S239-AG239</f>
        <v>-3</v>
      </c>
      <c r="AB239" s="372">
        <f>T239-AH239</f>
        <v>0</v>
      </c>
      <c r="AC239" s="26">
        <v>6</v>
      </c>
      <c r="AD239" s="27" t="s">
        <v>71</v>
      </c>
      <c r="AE239" s="392">
        <f>16-6</f>
        <v>10</v>
      </c>
      <c r="AF239" s="392">
        <f>11+6</f>
        <v>17</v>
      </c>
      <c r="AG239" s="392">
        <f>3</f>
        <v>3</v>
      </c>
      <c r="AH239" s="392">
        <f t="shared" ref="AH239:AH241" si="142">AG239+AF239+AE239</f>
        <v>30</v>
      </c>
      <c r="AI239" s="328">
        <f t="shared" ref="AI239:AI241" si="143">AJ239/1000*AF239</f>
        <v>6.3579999999999997</v>
      </c>
      <c r="AJ239" s="123">
        <v>374</v>
      </c>
      <c r="AK239" s="123">
        <v>60</v>
      </c>
      <c r="AL239" s="347"/>
    </row>
    <row r="240" spans="1:38" ht="24.95" customHeight="1">
      <c r="A240" s="26">
        <v>7</v>
      </c>
      <c r="B240" s="438" t="s">
        <v>72</v>
      </c>
      <c r="C240" s="392">
        <f>13</f>
        <v>13</v>
      </c>
      <c r="D240" s="392">
        <f>8</f>
        <v>8</v>
      </c>
      <c r="E240" s="392">
        <f>7</f>
        <v>7</v>
      </c>
      <c r="F240" s="392">
        <f t="shared" si="138"/>
        <v>28</v>
      </c>
      <c r="G240" s="564">
        <f t="shared" si="139"/>
        <v>2.992</v>
      </c>
      <c r="H240" s="123">
        <v>374</v>
      </c>
      <c r="I240" s="123">
        <f>79-2</f>
        <v>77</v>
      </c>
      <c r="J240" s="124">
        <f t="shared" si="130"/>
        <v>0</v>
      </c>
      <c r="K240" s="380">
        <f t="shared" si="131"/>
        <v>0</v>
      </c>
      <c r="L240" s="413">
        <f t="shared" si="132"/>
        <v>0</v>
      </c>
      <c r="M240" s="413">
        <f t="shared" si="133"/>
        <v>0</v>
      </c>
      <c r="N240" s="414">
        <f t="shared" si="134"/>
        <v>0</v>
      </c>
      <c r="O240" s="26">
        <v>7</v>
      </c>
      <c r="P240" s="310" t="s">
        <v>72</v>
      </c>
      <c r="Q240" s="392">
        <f>18-5</f>
        <v>13</v>
      </c>
      <c r="R240" s="392">
        <f>8+5-5</f>
        <v>8</v>
      </c>
      <c r="S240" s="392">
        <f>7-5+5</f>
        <v>7</v>
      </c>
      <c r="T240" s="392">
        <f t="shared" si="140"/>
        <v>28</v>
      </c>
      <c r="U240" s="328">
        <f t="shared" si="141"/>
        <v>2.992</v>
      </c>
      <c r="V240" s="123">
        <v>374</v>
      </c>
      <c r="W240" s="123">
        <f>79-2</f>
        <v>77</v>
      </c>
      <c r="X240" s="124">
        <f t="shared" si="136"/>
        <v>-7</v>
      </c>
      <c r="Y240" s="372">
        <f t="shared" ref="Y240:Y241" si="144">Q240-AE240</f>
        <v>-7</v>
      </c>
      <c r="Z240" s="372">
        <f t="shared" ref="Z240:Z241" si="145">R240-AF240</f>
        <v>0</v>
      </c>
      <c r="AA240" s="372">
        <f t="shared" ref="AA240:AA241" si="146">S240-AG240</f>
        <v>0</v>
      </c>
      <c r="AB240" s="372">
        <f>W240-AK240</f>
        <v>-3</v>
      </c>
      <c r="AC240" s="26">
        <v>7</v>
      </c>
      <c r="AD240" s="27" t="s">
        <v>72</v>
      </c>
      <c r="AE240" s="392">
        <v>20</v>
      </c>
      <c r="AF240" s="392">
        <f>13-5</f>
        <v>8</v>
      </c>
      <c r="AG240" s="392">
        <f>5+5-3</f>
        <v>7</v>
      </c>
      <c r="AH240" s="392">
        <f t="shared" si="142"/>
        <v>35</v>
      </c>
      <c r="AI240" s="328">
        <f t="shared" si="143"/>
        <v>2.992</v>
      </c>
      <c r="AJ240" s="123">
        <v>374</v>
      </c>
      <c r="AK240" s="123">
        <f>82-2</f>
        <v>80</v>
      </c>
      <c r="AL240" s="398"/>
    </row>
    <row r="241" spans="1:38" ht="24.95" customHeight="1">
      <c r="A241" s="26">
        <v>8</v>
      </c>
      <c r="B241" s="438" t="s">
        <v>73</v>
      </c>
      <c r="C241" s="408">
        <f>46-7</f>
        <v>39</v>
      </c>
      <c r="D241" s="392">
        <f>70+7</f>
        <v>77</v>
      </c>
      <c r="E241" s="408">
        <f>20</f>
        <v>20</v>
      </c>
      <c r="F241" s="392">
        <f t="shared" si="138"/>
        <v>136</v>
      </c>
      <c r="G241" s="564">
        <f t="shared" si="139"/>
        <v>28.797999999999998</v>
      </c>
      <c r="H241" s="123">
        <v>374</v>
      </c>
      <c r="I241" s="123">
        <v>267</v>
      </c>
      <c r="J241" s="124">
        <f t="shared" si="130"/>
        <v>0</v>
      </c>
      <c r="K241" s="380">
        <f t="shared" si="131"/>
        <v>-7</v>
      </c>
      <c r="L241" s="413">
        <f t="shared" si="132"/>
        <v>7</v>
      </c>
      <c r="M241" s="413">
        <f t="shared" si="133"/>
        <v>0</v>
      </c>
      <c r="N241" s="414">
        <f t="shared" si="134"/>
        <v>0</v>
      </c>
      <c r="O241" s="26">
        <v>8</v>
      </c>
      <c r="P241" s="310" t="s">
        <v>73</v>
      </c>
      <c r="Q241" s="408">
        <f>51-5</f>
        <v>46</v>
      </c>
      <c r="R241" s="392">
        <f>65+5</f>
        <v>70</v>
      </c>
      <c r="S241" s="408">
        <f>20</f>
        <v>20</v>
      </c>
      <c r="T241" s="392">
        <f t="shared" si="140"/>
        <v>136</v>
      </c>
      <c r="U241" s="328">
        <f t="shared" si="141"/>
        <v>26.18</v>
      </c>
      <c r="V241" s="123">
        <v>374</v>
      </c>
      <c r="W241" s="123">
        <v>267</v>
      </c>
      <c r="X241" s="124">
        <f t="shared" ref="X241" si="147">T241-AH241</f>
        <v>0</v>
      </c>
      <c r="Y241" s="372">
        <f t="shared" si="144"/>
        <v>-12</v>
      </c>
      <c r="Z241" s="372">
        <f t="shared" si="145"/>
        <v>12</v>
      </c>
      <c r="AA241" s="372">
        <f t="shared" si="146"/>
        <v>0</v>
      </c>
      <c r="AB241" s="372">
        <f>W241-AK241</f>
        <v>0</v>
      </c>
      <c r="AC241" s="26">
        <v>8</v>
      </c>
      <c r="AD241" s="27" t="s">
        <v>73</v>
      </c>
      <c r="AE241" s="408">
        <f>58</f>
        <v>58</v>
      </c>
      <c r="AF241" s="392">
        <v>58</v>
      </c>
      <c r="AG241" s="408">
        <f>20</f>
        <v>20</v>
      </c>
      <c r="AH241" s="392">
        <f t="shared" si="142"/>
        <v>136</v>
      </c>
      <c r="AI241" s="328">
        <f t="shared" si="143"/>
        <v>21.692</v>
      </c>
      <c r="AJ241" s="123">
        <v>374</v>
      </c>
      <c r="AK241" s="123">
        <v>267</v>
      </c>
      <c r="AL241" s="398"/>
    </row>
    <row r="242" spans="1:38" ht="24.95" customHeight="1">
      <c r="A242" s="26">
        <v>9</v>
      </c>
      <c r="B242" s="310" t="s">
        <v>74</v>
      </c>
      <c r="C242" s="408">
        <v>0</v>
      </c>
      <c r="D242" s="408">
        <v>0</v>
      </c>
      <c r="E242" s="408">
        <v>0</v>
      </c>
      <c r="F242" s="408">
        <v>0</v>
      </c>
      <c r="G242" s="567">
        <v>0</v>
      </c>
      <c r="H242" s="408">
        <v>0</v>
      </c>
      <c r="I242" s="408">
        <v>0</v>
      </c>
      <c r="J242" s="124"/>
      <c r="K242" s="380"/>
      <c r="L242" s="2"/>
      <c r="M242" s="2"/>
      <c r="N242" s="2"/>
      <c r="O242" s="26">
        <v>9</v>
      </c>
      <c r="P242" s="27" t="s">
        <v>74</v>
      </c>
      <c r="Q242" s="408">
        <v>0</v>
      </c>
      <c r="R242" s="408">
        <v>0</v>
      </c>
      <c r="S242" s="408">
        <v>0</v>
      </c>
      <c r="T242" s="408">
        <v>0</v>
      </c>
      <c r="U242" s="408">
        <v>0</v>
      </c>
      <c r="V242" s="408">
        <v>0</v>
      </c>
      <c r="W242" s="408">
        <v>0</v>
      </c>
      <c r="X242" s="124"/>
      <c r="Y242" s="372"/>
      <c r="Z242" s="372"/>
      <c r="AA242" s="372"/>
      <c r="AB242" s="372"/>
      <c r="AC242" s="26">
        <v>9</v>
      </c>
      <c r="AD242" s="27" t="s">
        <v>74</v>
      </c>
      <c r="AE242" s="408" t="s">
        <v>20</v>
      </c>
      <c r="AF242" s="408" t="s">
        <v>20</v>
      </c>
      <c r="AG242" s="408" t="s">
        <v>20</v>
      </c>
      <c r="AH242" s="408" t="s">
        <v>20</v>
      </c>
      <c r="AI242" s="97" t="s">
        <v>20</v>
      </c>
      <c r="AJ242" s="394" t="s">
        <v>20</v>
      </c>
      <c r="AK242" s="394" t="s">
        <v>20</v>
      </c>
      <c r="AL242" s="398"/>
    </row>
    <row r="243" spans="1:38" ht="24.95" customHeight="1">
      <c r="A243" s="26">
        <v>10</v>
      </c>
      <c r="B243" s="310" t="s">
        <v>75</v>
      </c>
      <c r="C243" s="408">
        <v>0</v>
      </c>
      <c r="D243" s="408">
        <v>0</v>
      </c>
      <c r="E243" s="408">
        <v>0</v>
      </c>
      <c r="F243" s="408">
        <v>0</v>
      </c>
      <c r="G243" s="567">
        <v>0</v>
      </c>
      <c r="H243" s="408">
        <v>0</v>
      </c>
      <c r="I243" s="408">
        <v>0</v>
      </c>
      <c r="J243" s="124"/>
      <c r="K243" s="380"/>
      <c r="O243" s="26">
        <v>10</v>
      </c>
      <c r="P243" s="27" t="s">
        <v>75</v>
      </c>
      <c r="Q243" s="408">
        <v>0</v>
      </c>
      <c r="R243" s="408">
        <v>0</v>
      </c>
      <c r="S243" s="408">
        <v>0</v>
      </c>
      <c r="T243" s="408">
        <v>0</v>
      </c>
      <c r="U243" s="408">
        <v>0</v>
      </c>
      <c r="V243" s="408">
        <v>0</v>
      </c>
      <c r="W243" s="408">
        <v>0</v>
      </c>
      <c r="X243" s="124"/>
      <c r="Y243" s="372"/>
      <c r="Z243" s="372"/>
      <c r="AA243" s="372"/>
      <c r="AB243" s="372"/>
      <c r="AC243" s="26">
        <v>10</v>
      </c>
      <c r="AD243" s="27" t="s">
        <v>75</v>
      </c>
      <c r="AE243" s="408" t="s">
        <v>20</v>
      </c>
      <c r="AF243" s="408" t="s">
        <v>20</v>
      </c>
      <c r="AG243" s="408" t="s">
        <v>20</v>
      </c>
      <c r="AH243" s="408" t="s">
        <v>20</v>
      </c>
      <c r="AI243" s="97" t="s">
        <v>20</v>
      </c>
      <c r="AJ243" s="394" t="s">
        <v>20</v>
      </c>
      <c r="AK243" s="394" t="s">
        <v>20</v>
      </c>
      <c r="AL243" s="347"/>
    </row>
    <row r="244" spans="1:38" ht="24.95" customHeight="1">
      <c r="A244" s="26">
        <v>11</v>
      </c>
      <c r="B244" s="368" t="s">
        <v>76</v>
      </c>
      <c r="C244" s="408">
        <v>0</v>
      </c>
      <c r="D244" s="408">
        <v>0</v>
      </c>
      <c r="E244" s="408">
        <v>0</v>
      </c>
      <c r="F244" s="408">
        <v>0</v>
      </c>
      <c r="G244" s="567">
        <v>0</v>
      </c>
      <c r="H244" s="408">
        <v>0</v>
      </c>
      <c r="I244" s="408">
        <v>0</v>
      </c>
      <c r="J244" s="124"/>
      <c r="K244" s="380"/>
      <c r="O244" s="26">
        <v>11</v>
      </c>
      <c r="P244" s="35" t="s">
        <v>76</v>
      </c>
      <c r="Q244" s="408">
        <v>0</v>
      </c>
      <c r="R244" s="408">
        <v>0</v>
      </c>
      <c r="S244" s="408">
        <v>0</v>
      </c>
      <c r="T244" s="408">
        <v>0</v>
      </c>
      <c r="U244" s="408">
        <v>0</v>
      </c>
      <c r="V244" s="408">
        <v>0</v>
      </c>
      <c r="W244" s="408">
        <v>0</v>
      </c>
      <c r="X244" s="124"/>
      <c r="Y244" s="372"/>
      <c r="Z244" s="372"/>
      <c r="AA244" s="372"/>
      <c r="AB244" s="372"/>
      <c r="AC244" s="26">
        <v>11</v>
      </c>
      <c r="AD244" s="35" t="s">
        <v>76</v>
      </c>
      <c r="AE244" s="408" t="s">
        <v>20</v>
      </c>
      <c r="AF244" s="408" t="s">
        <v>20</v>
      </c>
      <c r="AG244" s="408" t="s">
        <v>20</v>
      </c>
      <c r="AH244" s="408" t="s">
        <v>20</v>
      </c>
      <c r="AI244" s="97" t="s">
        <v>20</v>
      </c>
      <c r="AJ244" s="394" t="s">
        <v>20</v>
      </c>
      <c r="AK244" s="394" t="s">
        <v>20</v>
      </c>
      <c r="AL244" s="347"/>
    </row>
    <row r="245" spans="1:38" ht="24.95" customHeight="1">
      <c r="A245" s="664" t="s">
        <v>77</v>
      </c>
      <c r="B245" s="665"/>
      <c r="C245" s="409">
        <f>SUM(C234:C244)</f>
        <v>96</v>
      </c>
      <c r="D245" s="410">
        <f>SUM(D234:D244)</f>
        <v>145</v>
      </c>
      <c r="E245" s="409">
        <f>SUM(E234:E244)</f>
        <v>44.8</v>
      </c>
      <c r="F245" s="410">
        <f>SUM(F234:F244)</f>
        <v>285.8</v>
      </c>
      <c r="G245" s="568">
        <f t="shared" ref="G245" si="148">H245/1000*D245</f>
        <v>54.23</v>
      </c>
      <c r="H245" s="317">
        <v>374</v>
      </c>
      <c r="I245" s="382">
        <f>SUM(I234:I244)</f>
        <v>827</v>
      </c>
      <c r="J245" s="383">
        <f>SUM(J234:J244)</f>
        <v>0</v>
      </c>
      <c r="K245" s="380">
        <f>SUM(K234:K241)</f>
        <v>-1</v>
      </c>
      <c r="L245" s="380">
        <f t="shared" ref="L245:N245" si="149">SUM(L234:L241)</f>
        <v>0</v>
      </c>
      <c r="M245" s="380">
        <f t="shared" si="149"/>
        <v>1</v>
      </c>
      <c r="N245" s="380">
        <f t="shared" si="149"/>
        <v>0</v>
      </c>
      <c r="O245" s="664" t="s">
        <v>77</v>
      </c>
      <c r="P245" s="665"/>
      <c r="Q245" s="409">
        <f>SUM(Q234:Q244)</f>
        <v>97</v>
      </c>
      <c r="R245" s="410">
        <f>SUM(R234:R244)</f>
        <v>145</v>
      </c>
      <c r="S245" s="409">
        <f>SUM(S234:S244)</f>
        <v>43.8</v>
      </c>
      <c r="T245" s="410">
        <f>SUM(T234:T244)</f>
        <v>285.8</v>
      </c>
      <c r="U245" s="371">
        <f t="shared" ref="U245" si="150">V245/1000*R245</f>
        <v>54.23</v>
      </c>
      <c r="V245" s="317">
        <v>374</v>
      </c>
      <c r="W245" s="382">
        <f>SUM(W234:W244)</f>
        <v>827</v>
      </c>
      <c r="X245" s="383">
        <f>SUM(X234:X244)</f>
        <v>-17.8</v>
      </c>
      <c r="Y245" s="372">
        <f>SUM(Y234:Y244)</f>
        <v>-21</v>
      </c>
      <c r="Z245" s="372">
        <f t="shared" ref="Z245:AB245" si="151">SUM(Z234:Z244)</f>
        <v>17</v>
      </c>
      <c r="AA245" s="372">
        <f t="shared" si="151"/>
        <v>-3</v>
      </c>
      <c r="AB245" s="372">
        <f t="shared" si="151"/>
        <v>-3</v>
      </c>
      <c r="AC245" s="664" t="s">
        <v>77</v>
      </c>
      <c r="AD245" s="665"/>
      <c r="AE245" s="384">
        <f>SUM(AE234:AE244)</f>
        <v>132.80000000000001</v>
      </c>
      <c r="AF245" s="317">
        <f>SUM(AF234:AF244)</f>
        <v>126</v>
      </c>
      <c r="AG245" s="384">
        <f>SUM(AG234:AG244)</f>
        <v>44.8</v>
      </c>
      <c r="AH245" s="317">
        <f>SUM(AH234:AH244)</f>
        <v>303.60000000000002</v>
      </c>
      <c r="AI245" s="371">
        <f t="shared" ref="AI245" si="152">AJ245/1000*AF245</f>
        <v>47.124000000000002</v>
      </c>
      <c r="AJ245" s="317">
        <v>374</v>
      </c>
      <c r="AK245" s="382">
        <f>SUM(AK234:AK244)</f>
        <v>835</v>
      </c>
      <c r="AL245" s="399"/>
    </row>
    <row r="246" spans="1:38" ht="24.95" customHeight="1">
      <c r="C246" s="276">
        <f>C245-Q245</f>
        <v>-1</v>
      </c>
      <c r="D246" s="276">
        <f t="shared" ref="D246:I246" si="153">D245-R245</f>
        <v>0</v>
      </c>
      <c r="E246" s="276">
        <f t="shared" si="153"/>
        <v>1</v>
      </c>
      <c r="F246" s="276">
        <f t="shared" si="153"/>
        <v>0</v>
      </c>
      <c r="G246" s="276">
        <f t="shared" si="153"/>
        <v>0</v>
      </c>
      <c r="H246" s="276">
        <f t="shared" si="153"/>
        <v>0</v>
      </c>
      <c r="I246" s="276">
        <f t="shared" si="153"/>
        <v>0</v>
      </c>
      <c r="J246" s="276"/>
      <c r="K246" s="276"/>
      <c r="Q246" s="276">
        <f t="shared" ref="Q246:X246" si="154">Q245-AE245</f>
        <v>-35.800000000000011</v>
      </c>
      <c r="R246" s="276">
        <f t="shared" si="154"/>
        <v>19</v>
      </c>
      <c r="S246" s="276">
        <f t="shared" si="154"/>
        <v>-1</v>
      </c>
      <c r="T246" s="276">
        <f t="shared" si="154"/>
        <v>-17.800000000000011</v>
      </c>
      <c r="U246" s="276">
        <f t="shared" si="154"/>
        <v>7.1059999999999945</v>
      </c>
      <c r="V246" s="276">
        <f t="shared" si="154"/>
        <v>0</v>
      </c>
      <c r="W246" s="276">
        <f t="shared" si="154"/>
        <v>-8</v>
      </c>
      <c r="X246" s="276">
        <f t="shared" si="154"/>
        <v>-17.8</v>
      </c>
      <c r="AK246" s="273"/>
    </row>
    <row r="247" spans="1:38" ht="24.95" customHeight="1">
      <c r="B247" s="6" t="s">
        <v>12</v>
      </c>
      <c r="C247" s="320" t="s">
        <v>33</v>
      </c>
      <c r="D247" s="2"/>
      <c r="F247" s="118"/>
      <c r="G247" s="1"/>
      <c r="H247">
        <f>G245/D245*1000</f>
        <v>374</v>
      </c>
      <c r="L247">
        <v>2.2440000000000002</v>
      </c>
      <c r="P247" s="6" t="s">
        <v>12</v>
      </c>
      <c r="Q247" s="320" t="s">
        <v>33</v>
      </c>
      <c r="R247" s="2"/>
      <c r="T247" s="118"/>
      <c r="U247" s="1"/>
      <c r="V247">
        <f>U245/R245*1000</f>
        <v>374</v>
      </c>
      <c r="AD247" s="385"/>
      <c r="AE247" s="118"/>
      <c r="AF247" s="118"/>
      <c r="AG247" s="118"/>
      <c r="AH247" s="118"/>
      <c r="AI247" s="1" t="s">
        <v>104</v>
      </c>
    </row>
    <row r="248" spans="1:38" ht="24.95" customHeight="1">
      <c r="B248" s="6" t="s">
        <v>13</v>
      </c>
      <c r="C248" s="320" t="s">
        <v>34</v>
      </c>
      <c r="D248" s="2"/>
      <c r="F248" s="273">
        <f>C245+D245+E245</f>
        <v>285.8</v>
      </c>
      <c r="G248" s="650"/>
      <c r="H248" s="637"/>
      <c r="I248" s="637"/>
      <c r="J248" s="637"/>
      <c r="K248" s="48"/>
      <c r="L248">
        <v>2.992</v>
      </c>
      <c r="P248" s="6" t="s">
        <v>13</v>
      </c>
      <c r="Q248" s="320" t="s">
        <v>34</v>
      </c>
      <c r="R248" s="2"/>
      <c r="T248" s="273">
        <f>Q245+R245+S245</f>
        <v>285.8</v>
      </c>
      <c r="U248" s="650"/>
      <c r="V248" s="637"/>
      <c r="W248" s="637"/>
      <c r="X248" s="637"/>
      <c r="AI248" s="266" t="s">
        <v>105</v>
      </c>
      <c r="AJ248" s="323"/>
      <c r="AK248" s="323"/>
      <c r="AL248" s="323"/>
    </row>
    <row r="249" spans="1:38" ht="24.95" customHeight="1">
      <c r="B249" s="6" t="s">
        <v>14</v>
      </c>
      <c r="C249" s="320" t="s">
        <v>35</v>
      </c>
      <c r="D249" s="2"/>
      <c r="G249" s="1"/>
      <c r="L249">
        <v>0.374</v>
      </c>
      <c r="P249" s="6" t="s">
        <v>14</v>
      </c>
      <c r="Q249" s="320" t="s">
        <v>35</v>
      </c>
      <c r="R249" s="2"/>
      <c r="U249" s="1"/>
      <c r="AI249" s="1" t="s">
        <v>106</v>
      </c>
    </row>
    <row r="250" spans="1:38" ht="24.95" customHeight="1">
      <c r="G250" s="650"/>
      <c r="H250" s="650"/>
      <c r="I250" s="650"/>
      <c r="J250" s="650"/>
      <c r="K250" s="47"/>
      <c r="L250">
        <v>0</v>
      </c>
      <c r="U250" s="650"/>
      <c r="V250" s="650"/>
      <c r="W250" s="650"/>
      <c r="X250" s="650"/>
      <c r="AI250" s="650"/>
      <c r="AJ250" s="650"/>
      <c r="AK250" s="650"/>
      <c r="AL250" s="650"/>
    </row>
    <row r="251" spans="1:38" ht="24.95" customHeight="1">
      <c r="G251" s="48"/>
      <c r="H251" s="48"/>
      <c r="I251" s="48"/>
      <c r="J251" s="48"/>
      <c r="K251" s="48"/>
      <c r="L251">
        <v>11.22</v>
      </c>
      <c r="U251" s="48"/>
      <c r="V251" s="48"/>
      <c r="W251" s="48"/>
      <c r="X251" s="48"/>
      <c r="AI251" s="48"/>
      <c r="AJ251" s="48"/>
      <c r="AK251" s="48"/>
      <c r="AL251" s="48"/>
    </row>
    <row r="252" spans="1:38" ht="24.95" customHeight="1">
      <c r="G252" s="637"/>
      <c r="H252" s="637"/>
      <c r="I252" s="637"/>
      <c r="J252" s="637"/>
      <c r="K252" s="48"/>
      <c r="L252">
        <v>8.2279999999999998</v>
      </c>
      <c r="U252" s="637"/>
      <c r="V252" s="637"/>
      <c r="W252" s="637"/>
      <c r="X252" s="637"/>
      <c r="AI252" s="637"/>
      <c r="AJ252" s="637"/>
      <c r="AK252" s="637"/>
      <c r="AL252" s="637"/>
    </row>
    <row r="253" spans="1:38" ht="15" customHeight="1">
      <c r="G253" s="637"/>
      <c r="H253" s="637"/>
      <c r="I253" s="637"/>
      <c r="J253" s="637"/>
      <c r="K253" s="48"/>
      <c r="L253">
        <v>2.992</v>
      </c>
      <c r="U253" s="637"/>
      <c r="V253" s="637"/>
      <c r="W253" s="637"/>
      <c r="X253" s="637"/>
      <c r="AI253" s="637"/>
      <c r="AJ253" s="637"/>
      <c r="AK253" s="637"/>
      <c r="AL253" s="637"/>
    </row>
    <row r="254" spans="1:38" ht="15" customHeight="1">
      <c r="L254">
        <v>26.18</v>
      </c>
    </row>
    <row r="255" spans="1:38" ht="15" customHeight="1">
      <c r="L255">
        <v>0</v>
      </c>
    </row>
    <row r="256" spans="1:38" ht="15">
      <c r="G256" s="653"/>
      <c r="H256" s="653"/>
      <c r="I256" s="653"/>
      <c r="J256" s="653"/>
      <c r="K256" s="46"/>
      <c r="L256">
        <v>0</v>
      </c>
      <c r="U256" s="653"/>
      <c r="V256" s="653"/>
      <c r="W256" s="653"/>
      <c r="X256" s="653"/>
      <c r="AI256" s="653"/>
      <c r="AJ256" s="653"/>
      <c r="AK256" s="653"/>
      <c r="AL256" s="653"/>
    </row>
    <row r="257" spans="1:38">
      <c r="G257" s="637"/>
      <c r="H257" s="637"/>
      <c r="I257" s="637"/>
      <c r="J257" s="637"/>
      <c r="K257" s="48"/>
      <c r="L257">
        <v>0</v>
      </c>
      <c r="U257" s="637"/>
      <c r="V257" s="637"/>
      <c r="W257" s="637"/>
      <c r="X257" s="637"/>
      <c r="AI257" s="637"/>
      <c r="AJ257" s="637"/>
      <c r="AK257" s="637"/>
      <c r="AL257" s="637"/>
    </row>
    <row r="258" spans="1:38">
      <c r="G258" s="637"/>
      <c r="H258" s="637"/>
      <c r="I258" s="637"/>
      <c r="J258" s="637"/>
      <c r="K258" s="48"/>
      <c r="U258" s="637"/>
      <c r="V258" s="637"/>
      <c r="W258" s="637"/>
      <c r="X258" s="637"/>
      <c r="AI258" s="637"/>
      <c r="AJ258" s="637"/>
      <c r="AK258" s="637"/>
      <c r="AL258" s="637"/>
    </row>
    <row r="259" spans="1:38">
      <c r="G259" s="48"/>
      <c r="H259" s="48"/>
      <c r="I259" s="48"/>
      <c r="J259" s="48"/>
      <c r="K259" s="48"/>
      <c r="U259" s="48"/>
      <c r="V259" s="48"/>
      <c r="W259" s="48"/>
      <c r="X259" s="48"/>
      <c r="AI259" s="48"/>
      <c r="AJ259" s="48"/>
      <c r="AK259" s="48"/>
      <c r="AL259" s="48"/>
    </row>
    <row r="260" spans="1:38">
      <c r="G260" s="48"/>
      <c r="H260" s="48"/>
      <c r="I260" s="48"/>
      <c r="J260" s="48"/>
      <c r="K260" s="48"/>
      <c r="U260" s="48"/>
      <c r="V260" s="48"/>
      <c r="W260" s="48"/>
      <c r="X260" s="48"/>
      <c r="AI260" s="48"/>
      <c r="AJ260" s="48"/>
      <c r="AK260" s="48"/>
      <c r="AL260" s="48"/>
    </row>
    <row r="261" spans="1:38">
      <c r="G261" s="48"/>
      <c r="H261" s="48"/>
      <c r="I261" s="48"/>
      <c r="J261" s="48"/>
      <c r="K261" s="48"/>
      <c r="U261" s="48"/>
      <c r="V261" s="48"/>
      <c r="W261" s="48"/>
      <c r="X261" s="48"/>
      <c r="AI261" s="48"/>
      <c r="AJ261" s="48"/>
      <c r="AK261" s="48"/>
      <c r="AL261" s="48"/>
    </row>
    <row r="262" spans="1:38">
      <c r="G262" s="48"/>
      <c r="H262" s="48"/>
      <c r="I262" s="48"/>
      <c r="J262" s="48"/>
      <c r="K262" s="48"/>
      <c r="U262" s="48"/>
      <c r="V262" s="48"/>
      <c r="W262" s="48"/>
      <c r="X262" s="48"/>
      <c r="AI262" s="48"/>
      <c r="AJ262" s="48"/>
      <c r="AK262" s="48"/>
      <c r="AL262" s="48"/>
    </row>
    <row r="263" spans="1:38">
      <c r="G263" s="48"/>
      <c r="H263" s="48"/>
      <c r="I263" s="48"/>
      <c r="J263" s="48"/>
      <c r="K263" s="48"/>
      <c r="U263" s="48"/>
      <c r="V263" s="48"/>
      <c r="W263" s="48"/>
      <c r="X263" s="48"/>
      <c r="AI263" s="48"/>
      <c r="AJ263" s="48"/>
      <c r="AK263" s="48"/>
      <c r="AL263" s="48"/>
    </row>
    <row r="264" spans="1:38">
      <c r="G264" s="48"/>
      <c r="H264" s="48"/>
      <c r="I264" s="48"/>
      <c r="J264" s="48"/>
      <c r="K264" s="48"/>
      <c r="U264" s="48"/>
      <c r="V264" s="48"/>
      <c r="W264" s="48"/>
      <c r="X264" s="48"/>
      <c r="AI264" s="48"/>
      <c r="AJ264" s="48"/>
      <c r="AK264" s="48"/>
      <c r="AL264" s="48"/>
    </row>
    <row r="265" spans="1:38">
      <c r="G265" s="48"/>
      <c r="H265" s="48"/>
      <c r="I265" s="48"/>
      <c r="J265" s="48"/>
      <c r="K265" s="48"/>
      <c r="U265" s="48"/>
      <c r="V265" s="48"/>
      <c r="W265" s="48"/>
      <c r="X265" s="48"/>
      <c r="AI265" s="48"/>
      <c r="AJ265" s="48"/>
      <c r="AK265" s="48"/>
      <c r="AL265" s="48"/>
    </row>
    <row r="266" spans="1:38">
      <c r="G266" s="48"/>
      <c r="H266" s="48"/>
      <c r="I266" s="48"/>
      <c r="J266" s="48"/>
      <c r="K266" s="48"/>
      <c r="U266" s="48"/>
      <c r="V266" s="48"/>
      <c r="W266" s="48"/>
      <c r="X266" s="48"/>
      <c r="AI266" s="48"/>
      <c r="AJ266" s="48"/>
      <c r="AK266" s="48"/>
      <c r="AL266" s="48"/>
    </row>
    <row r="267" spans="1:38">
      <c r="G267" s="48"/>
      <c r="H267" s="48"/>
      <c r="I267" s="48"/>
      <c r="J267" s="48"/>
      <c r="K267" s="48"/>
      <c r="U267" s="48"/>
      <c r="V267" s="48"/>
      <c r="W267" s="48"/>
      <c r="X267" s="48"/>
      <c r="AI267" s="48"/>
      <c r="AJ267" s="48"/>
      <c r="AK267" s="48"/>
      <c r="AL267" s="48"/>
    </row>
    <row r="268" spans="1:38">
      <c r="G268" s="48"/>
      <c r="H268" s="48"/>
      <c r="I268" s="48"/>
      <c r="J268" s="48"/>
      <c r="K268" s="48"/>
      <c r="U268" s="48"/>
      <c r="V268" s="48"/>
      <c r="W268" s="48"/>
      <c r="X268" s="48"/>
      <c r="AI268" s="48"/>
      <c r="AJ268" s="48"/>
      <c r="AK268" s="48"/>
      <c r="AL268" s="48"/>
    </row>
    <row r="269" spans="1:38">
      <c r="G269" s="48"/>
      <c r="H269" s="48"/>
      <c r="I269" s="48"/>
      <c r="J269" s="48"/>
      <c r="K269" s="48"/>
      <c r="U269" s="48"/>
      <c r="V269" s="48"/>
      <c r="W269" s="48"/>
      <c r="X269" s="48"/>
      <c r="AI269" s="48"/>
      <c r="AJ269" s="48"/>
      <c r="AK269" s="48"/>
      <c r="AL269" s="48"/>
    </row>
    <row r="270" spans="1:38">
      <c r="G270" s="48"/>
      <c r="H270" s="48"/>
      <c r="I270" s="48"/>
      <c r="J270" s="48"/>
      <c r="K270" s="48"/>
      <c r="U270" s="48"/>
      <c r="V270" s="48"/>
      <c r="W270" s="48"/>
      <c r="X270" s="48"/>
      <c r="AI270" s="48"/>
      <c r="AJ270" s="48"/>
      <c r="AK270" s="48"/>
      <c r="AL270" s="48"/>
    </row>
    <row r="271" spans="1:38" ht="24.95" customHeight="1">
      <c r="G271" s="48"/>
      <c r="H271" s="48"/>
      <c r="I271" s="48"/>
      <c r="J271" s="48"/>
      <c r="K271" s="48"/>
      <c r="U271" s="48"/>
      <c r="V271" s="48"/>
      <c r="W271" s="48"/>
      <c r="X271" s="48"/>
      <c r="AI271" s="48"/>
      <c r="AJ271" s="48"/>
      <c r="AK271" s="48"/>
      <c r="AL271" s="48"/>
    </row>
    <row r="272" spans="1:38" ht="24.95" customHeight="1">
      <c r="A272" s="632" t="s">
        <v>59</v>
      </c>
      <c r="B272" s="632"/>
      <c r="C272" s="632"/>
      <c r="D272" s="632"/>
      <c r="E272" s="632"/>
      <c r="F272" s="632"/>
      <c r="G272" s="632"/>
      <c r="H272" s="632"/>
      <c r="I272" s="632"/>
      <c r="J272" s="632"/>
      <c r="K272" s="296"/>
      <c r="O272" s="632" t="s">
        <v>59</v>
      </c>
      <c r="P272" s="632"/>
      <c r="Q272" s="632"/>
      <c r="R272" s="632"/>
      <c r="S272" s="632"/>
      <c r="T272" s="632"/>
      <c r="U272" s="632"/>
      <c r="V272" s="632"/>
      <c r="W272" s="632"/>
      <c r="X272" s="632"/>
      <c r="AC272" s="663" t="s">
        <v>59</v>
      </c>
      <c r="AD272" s="663"/>
      <c r="AE272" s="663"/>
      <c r="AF272" s="663"/>
      <c r="AG272" s="663"/>
      <c r="AH272" s="663"/>
      <c r="AI272" s="663"/>
      <c r="AJ272" s="663"/>
      <c r="AK272" s="663"/>
      <c r="AL272" s="663"/>
    </row>
    <row r="273" spans="1:38" ht="24.95" customHeight="1">
      <c r="A273" s="632" t="s">
        <v>1</v>
      </c>
      <c r="B273" s="632"/>
      <c r="C273" s="632"/>
      <c r="D273" s="632"/>
      <c r="E273" s="632"/>
      <c r="F273" s="632"/>
      <c r="G273" s="632"/>
      <c r="H273" s="632"/>
      <c r="I273" s="632"/>
      <c r="J273" s="632"/>
      <c r="K273" s="296"/>
      <c r="O273" s="632" t="s">
        <v>1</v>
      </c>
      <c r="P273" s="632"/>
      <c r="Q273" s="632"/>
      <c r="R273" s="632"/>
      <c r="S273" s="632"/>
      <c r="T273" s="632"/>
      <c r="U273" s="632"/>
      <c r="V273" s="632"/>
      <c r="W273" s="632"/>
      <c r="X273" s="632"/>
      <c r="AC273" s="663" t="s">
        <v>1</v>
      </c>
      <c r="AD273" s="663"/>
      <c r="AE273" s="663"/>
      <c r="AF273" s="663"/>
      <c r="AG273" s="663"/>
      <c r="AH273" s="663"/>
      <c r="AI273" s="663"/>
      <c r="AJ273" s="663"/>
      <c r="AK273" s="663"/>
      <c r="AL273" s="663"/>
    </row>
    <row r="274" spans="1:38" ht="24.95" customHeight="1">
      <c r="A274" s="632" t="s">
        <v>206</v>
      </c>
      <c r="B274" s="632"/>
      <c r="C274" s="632"/>
      <c r="D274" s="632"/>
      <c r="E274" s="632"/>
      <c r="F274" s="632"/>
      <c r="G274" s="632"/>
      <c r="H274" s="632"/>
      <c r="I274" s="632"/>
      <c r="J274" s="632"/>
      <c r="K274" s="623"/>
      <c r="O274" s="632" t="s">
        <v>60</v>
      </c>
      <c r="P274" s="632"/>
      <c r="Q274" s="632"/>
      <c r="R274" s="632"/>
      <c r="S274" s="632"/>
      <c r="T274" s="632"/>
      <c r="U274" s="632"/>
      <c r="V274" s="632"/>
      <c r="W274" s="632"/>
      <c r="X274" s="632"/>
      <c r="AC274" s="663" t="s">
        <v>107</v>
      </c>
      <c r="AD274" s="663"/>
      <c r="AE274" s="663"/>
      <c r="AF274" s="663"/>
      <c r="AG274" s="663"/>
      <c r="AH274" s="663"/>
      <c r="AI274" s="663"/>
      <c r="AJ274" s="663"/>
      <c r="AK274" s="663"/>
      <c r="AL274" s="663"/>
    </row>
    <row r="275" spans="1:38" ht="24.9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</row>
    <row r="276" spans="1:38" ht="24.95" customHeight="1">
      <c r="A276" t="s">
        <v>61</v>
      </c>
      <c r="B276" s="2"/>
      <c r="C276" s="324" t="s">
        <v>87</v>
      </c>
      <c r="O276" t="s">
        <v>61</v>
      </c>
      <c r="P276" s="2"/>
      <c r="Q276" s="324" t="s">
        <v>87</v>
      </c>
      <c r="AC276" t="s">
        <v>61</v>
      </c>
      <c r="AE276" t="s">
        <v>87</v>
      </c>
    </row>
    <row r="277" spans="1:38" ht="24.95" customHeight="1">
      <c r="A277" s="1"/>
      <c r="E277" s="1"/>
      <c r="O277" s="1"/>
      <c r="S277" s="1"/>
      <c r="AC277" s="1"/>
      <c r="AG277" s="1"/>
    </row>
    <row r="278" spans="1:38" ht="24.95" customHeight="1">
      <c r="A278" s="297" t="s">
        <v>4</v>
      </c>
      <c r="B278" s="298" t="s">
        <v>63</v>
      </c>
      <c r="C278" s="298" t="s">
        <v>12</v>
      </c>
      <c r="D278" s="298" t="s">
        <v>13</v>
      </c>
      <c r="E278" s="298" t="s">
        <v>14</v>
      </c>
      <c r="F278" s="299" t="s">
        <v>79</v>
      </c>
      <c r="G278" s="299" t="s">
        <v>8</v>
      </c>
      <c r="H278" s="299" t="s">
        <v>9</v>
      </c>
      <c r="I278" s="299" t="s">
        <v>10</v>
      </c>
      <c r="J278" s="330" t="s">
        <v>11</v>
      </c>
      <c r="K278" s="430"/>
      <c r="O278" s="297" t="s">
        <v>4</v>
      </c>
      <c r="P278" s="298" t="s">
        <v>63</v>
      </c>
      <c r="Q278" s="298" t="s">
        <v>12</v>
      </c>
      <c r="R278" s="298" t="s">
        <v>13</v>
      </c>
      <c r="S278" s="298" t="s">
        <v>14</v>
      </c>
      <c r="T278" s="299" t="s">
        <v>79</v>
      </c>
      <c r="U278" s="299" t="s">
        <v>8</v>
      </c>
      <c r="V278" s="299" t="s">
        <v>9</v>
      </c>
      <c r="W278" s="299" t="s">
        <v>10</v>
      </c>
      <c r="X278" s="330" t="s">
        <v>11</v>
      </c>
      <c r="Z278" s="357" t="s">
        <v>103</v>
      </c>
      <c r="AC278" s="297" t="s">
        <v>4</v>
      </c>
      <c r="AD278" s="298" t="s">
        <v>63</v>
      </c>
      <c r="AE278" s="298" t="s">
        <v>12</v>
      </c>
      <c r="AF278" s="298" t="s">
        <v>13</v>
      </c>
      <c r="AG278" s="298" t="s">
        <v>14</v>
      </c>
      <c r="AH278" s="299" t="s">
        <v>79</v>
      </c>
      <c r="AI278" s="299" t="s">
        <v>8</v>
      </c>
      <c r="AJ278" s="299" t="s">
        <v>9</v>
      </c>
      <c r="AK278" s="299" t="s">
        <v>10</v>
      </c>
      <c r="AL278" s="330" t="s">
        <v>11</v>
      </c>
    </row>
    <row r="279" spans="1:38" ht="24.95" customHeight="1">
      <c r="A279" s="300">
        <v>1</v>
      </c>
      <c r="B279" s="301">
        <v>2</v>
      </c>
      <c r="C279" s="301">
        <v>3</v>
      </c>
      <c r="D279" s="301">
        <v>4</v>
      </c>
      <c r="E279" s="301">
        <v>5</v>
      </c>
      <c r="F279" s="301">
        <v>6</v>
      </c>
      <c r="G279" s="301">
        <v>7</v>
      </c>
      <c r="H279" s="301">
        <v>8</v>
      </c>
      <c r="I279" s="301">
        <v>9</v>
      </c>
      <c r="J279" s="333">
        <v>10</v>
      </c>
      <c r="K279" s="334" t="s">
        <v>12</v>
      </c>
      <c r="L279" s="1" t="s">
        <v>13</v>
      </c>
      <c r="M279" s="1" t="s">
        <v>14</v>
      </c>
      <c r="N279" s="1" t="s">
        <v>65</v>
      </c>
      <c r="O279" s="300">
        <v>1</v>
      </c>
      <c r="P279" s="301">
        <v>2</v>
      </c>
      <c r="Q279" s="301">
        <v>3</v>
      </c>
      <c r="R279" s="301">
        <v>4</v>
      </c>
      <c r="S279" s="301">
        <v>5</v>
      </c>
      <c r="T279" s="301">
        <v>6</v>
      </c>
      <c r="U279" s="301">
        <v>7</v>
      </c>
      <c r="V279" s="301">
        <v>8</v>
      </c>
      <c r="W279" s="301">
        <v>9</v>
      </c>
      <c r="X279" s="333">
        <v>10</v>
      </c>
      <c r="AC279" s="300">
        <v>1</v>
      </c>
      <c r="AD279" s="301">
        <v>2</v>
      </c>
      <c r="AE279" s="301">
        <v>3</v>
      </c>
      <c r="AF279" s="301">
        <v>4</v>
      </c>
      <c r="AG279" s="301">
        <v>5</v>
      </c>
      <c r="AH279" s="301">
        <v>6</v>
      </c>
      <c r="AI279" s="301">
        <v>7</v>
      </c>
      <c r="AJ279" s="301">
        <v>8</v>
      </c>
      <c r="AK279" s="301">
        <v>9</v>
      </c>
      <c r="AL279" s="333">
        <v>10</v>
      </c>
    </row>
    <row r="280" spans="1:38" ht="24.95" customHeight="1">
      <c r="A280" s="16">
        <v>1</v>
      </c>
      <c r="B280" s="17" t="s">
        <v>82</v>
      </c>
      <c r="C280" s="97">
        <v>0</v>
      </c>
      <c r="D280" s="328">
        <v>0</v>
      </c>
      <c r="E280" s="123">
        <v>0</v>
      </c>
      <c r="F280" s="328">
        <f>C280+D280+E280</f>
        <v>0</v>
      </c>
      <c r="G280" s="421">
        <v>0</v>
      </c>
      <c r="H280" s="123">
        <v>0</v>
      </c>
      <c r="I280" s="123">
        <v>0</v>
      </c>
      <c r="J280" s="431"/>
      <c r="K280" s="380"/>
      <c r="O280" s="16">
        <v>1</v>
      </c>
      <c r="P280" s="17" t="s">
        <v>82</v>
      </c>
      <c r="Q280" s="97" t="s">
        <v>20</v>
      </c>
      <c r="R280" s="328" t="s">
        <v>20</v>
      </c>
      <c r="S280" s="123" t="s">
        <v>20</v>
      </c>
      <c r="T280" s="328" t="s">
        <v>20</v>
      </c>
      <c r="U280" s="421" t="s">
        <v>20</v>
      </c>
      <c r="V280" s="123" t="s">
        <v>20</v>
      </c>
      <c r="W280" s="123" t="s">
        <v>20</v>
      </c>
      <c r="X280" s="431"/>
      <c r="AC280" s="16">
        <v>1</v>
      </c>
      <c r="AD280" s="17" t="s">
        <v>82</v>
      </c>
      <c r="AE280" s="97" t="s">
        <v>20</v>
      </c>
      <c r="AF280" s="328" t="s">
        <v>20</v>
      </c>
      <c r="AG280" s="123" t="s">
        <v>20</v>
      </c>
      <c r="AH280" s="328" t="s">
        <v>20</v>
      </c>
      <c r="AI280" s="421" t="s">
        <v>20</v>
      </c>
      <c r="AJ280" s="123" t="s">
        <v>20</v>
      </c>
      <c r="AK280" s="123" t="s">
        <v>20</v>
      </c>
      <c r="AL280" s="336"/>
    </row>
    <row r="281" spans="1:38" ht="24.95" customHeight="1">
      <c r="A281" s="22">
        <v>2</v>
      </c>
      <c r="B281" s="23" t="s">
        <v>67</v>
      </c>
      <c r="C281" s="97">
        <v>0</v>
      </c>
      <c r="D281" s="328">
        <v>0</v>
      </c>
      <c r="E281" s="123">
        <v>0</v>
      </c>
      <c r="F281" s="328">
        <f t="shared" ref="F281:F289" si="155">C281+D281+E281</f>
        <v>0</v>
      </c>
      <c r="G281" s="421">
        <v>0</v>
      </c>
      <c r="H281" s="123">
        <v>0</v>
      </c>
      <c r="I281" s="123">
        <v>0</v>
      </c>
      <c r="J281" s="124"/>
      <c r="K281" s="380"/>
      <c r="O281" s="22">
        <v>2</v>
      </c>
      <c r="P281" s="23" t="s">
        <v>67</v>
      </c>
      <c r="Q281" s="544" t="s">
        <v>20</v>
      </c>
      <c r="R281" s="544" t="s">
        <v>20</v>
      </c>
      <c r="S281" s="544" t="s">
        <v>20</v>
      </c>
      <c r="T281" s="544" t="s">
        <v>20</v>
      </c>
      <c r="U281" s="547" t="s">
        <v>20</v>
      </c>
      <c r="V281" s="544" t="s">
        <v>20</v>
      </c>
      <c r="W281" s="544" t="s">
        <v>20</v>
      </c>
      <c r="X281" s="124"/>
      <c r="AC281" s="22">
        <v>2</v>
      </c>
      <c r="AD281" s="23" t="s">
        <v>67</v>
      </c>
      <c r="AE281" s="544" t="s">
        <v>20</v>
      </c>
      <c r="AF281" s="544" t="s">
        <v>20</v>
      </c>
      <c r="AG281" s="544" t="s">
        <v>20</v>
      </c>
      <c r="AH281" s="544" t="s">
        <v>20</v>
      </c>
      <c r="AI281" s="547" t="s">
        <v>20</v>
      </c>
      <c r="AJ281" s="544" t="s">
        <v>20</v>
      </c>
      <c r="AK281" s="544" t="s">
        <v>20</v>
      </c>
      <c r="AL281" s="398"/>
    </row>
    <row r="282" spans="1:38" ht="24.95" customHeight="1">
      <c r="A282" s="26">
        <v>3</v>
      </c>
      <c r="B282" s="27" t="s">
        <v>68</v>
      </c>
      <c r="C282" s="97">
        <v>0</v>
      </c>
      <c r="D282" s="328">
        <v>0</v>
      </c>
      <c r="E282" s="123">
        <v>0</v>
      </c>
      <c r="F282" s="328">
        <f t="shared" si="155"/>
        <v>0</v>
      </c>
      <c r="G282" s="421">
        <v>0</v>
      </c>
      <c r="H282" s="123">
        <v>0</v>
      </c>
      <c r="I282" s="123">
        <v>0</v>
      </c>
      <c r="J282" s="124"/>
      <c r="K282" s="380"/>
      <c r="O282" s="26">
        <v>3</v>
      </c>
      <c r="P282" s="27" t="s">
        <v>68</v>
      </c>
      <c r="Q282" s="422">
        <v>0</v>
      </c>
      <c r="R282" s="361">
        <v>0</v>
      </c>
      <c r="S282" s="423">
        <v>0</v>
      </c>
      <c r="T282" s="361">
        <v>0</v>
      </c>
      <c r="U282" s="424">
        <f>V282/1000*R282</f>
        <v>0</v>
      </c>
      <c r="V282" s="422">
        <v>0</v>
      </c>
      <c r="W282" s="422">
        <v>0</v>
      </c>
      <c r="X282" s="124"/>
      <c r="AC282" s="26">
        <v>3</v>
      </c>
      <c r="AD282" s="27" t="s">
        <v>68</v>
      </c>
      <c r="AE282" s="422">
        <v>0</v>
      </c>
      <c r="AF282" s="361">
        <v>0</v>
      </c>
      <c r="AG282" s="423">
        <v>0</v>
      </c>
      <c r="AH282" s="361">
        <v>0</v>
      </c>
      <c r="AI282" s="424">
        <f>AJ282/1000*AF282</f>
        <v>0</v>
      </c>
      <c r="AJ282" s="422">
        <v>0</v>
      </c>
      <c r="AK282" s="422">
        <v>0</v>
      </c>
      <c r="AL282" s="398"/>
    </row>
    <row r="283" spans="1:38" ht="24.95" customHeight="1">
      <c r="A283" s="26">
        <v>4</v>
      </c>
      <c r="B283" s="27" t="s">
        <v>69</v>
      </c>
      <c r="C283" s="97">
        <v>0</v>
      </c>
      <c r="D283" s="328">
        <v>0</v>
      </c>
      <c r="E283" s="123">
        <v>0</v>
      </c>
      <c r="F283" s="328">
        <f t="shared" si="155"/>
        <v>0</v>
      </c>
      <c r="G283" s="421">
        <v>0</v>
      </c>
      <c r="H283" s="123">
        <v>0</v>
      </c>
      <c r="I283" s="123">
        <v>0</v>
      </c>
      <c r="J283" s="124"/>
      <c r="K283" s="380"/>
      <c r="O283" s="26">
        <v>4</v>
      </c>
      <c r="P283" s="27" t="s">
        <v>69</v>
      </c>
      <c r="Q283" s="123">
        <v>0</v>
      </c>
      <c r="R283" s="123">
        <v>0</v>
      </c>
      <c r="S283" s="544" t="s">
        <v>20</v>
      </c>
      <c r="T283" s="544" t="s">
        <v>20</v>
      </c>
      <c r="U283" s="544" t="s">
        <v>20</v>
      </c>
      <c r="V283" s="544" t="s">
        <v>20</v>
      </c>
      <c r="W283" s="544" t="s">
        <v>20</v>
      </c>
      <c r="X283" s="124"/>
      <c r="AC283" s="26">
        <v>4</v>
      </c>
      <c r="AD283" s="27" t="s">
        <v>69</v>
      </c>
      <c r="AE283" s="123">
        <v>0</v>
      </c>
      <c r="AF283" s="123">
        <v>0</v>
      </c>
      <c r="AG283" s="544" t="s">
        <v>20</v>
      </c>
      <c r="AH283" s="544" t="s">
        <v>20</v>
      </c>
      <c r="AI283" s="544" t="s">
        <v>20</v>
      </c>
      <c r="AJ283" s="544" t="s">
        <v>20</v>
      </c>
      <c r="AK283" s="544" t="s">
        <v>20</v>
      </c>
      <c r="AL283" s="398"/>
    </row>
    <row r="284" spans="1:38" ht="24.95" customHeight="1">
      <c r="A284" s="26">
        <v>5</v>
      </c>
      <c r="B284" s="32" t="s">
        <v>70</v>
      </c>
      <c r="C284" s="97">
        <v>0</v>
      </c>
      <c r="D284" s="328">
        <v>0</v>
      </c>
      <c r="E284" s="123">
        <v>0</v>
      </c>
      <c r="F284" s="328">
        <f t="shared" si="155"/>
        <v>0</v>
      </c>
      <c r="G284" s="421">
        <v>0</v>
      </c>
      <c r="H284" s="123">
        <v>0</v>
      </c>
      <c r="I284" s="123">
        <v>0</v>
      </c>
      <c r="J284" s="124"/>
      <c r="K284" s="380"/>
      <c r="O284" s="26">
        <v>5</v>
      </c>
      <c r="P284" s="32" t="s">
        <v>70</v>
      </c>
      <c r="Q284" s="123">
        <v>0</v>
      </c>
      <c r="R284" s="123">
        <v>0</v>
      </c>
      <c r="S284" s="544" t="s">
        <v>20</v>
      </c>
      <c r="T284" s="544" t="s">
        <v>20</v>
      </c>
      <c r="U284" s="544" t="s">
        <v>20</v>
      </c>
      <c r="V284" s="544" t="s">
        <v>20</v>
      </c>
      <c r="W284" s="544" t="s">
        <v>20</v>
      </c>
      <c r="X284" s="124"/>
      <c r="AC284" s="26">
        <v>5</v>
      </c>
      <c r="AD284" s="32" t="s">
        <v>70</v>
      </c>
      <c r="AE284" s="123">
        <v>0</v>
      </c>
      <c r="AF284" s="123">
        <v>0</v>
      </c>
      <c r="AG284" s="544" t="s">
        <v>20</v>
      </c>
      <c r="AH284" s="544" t="s">
        <v>20</v>
      </c>
      <c r="AI284" s="544" t="s">
        <v>20</v>
      </c>
      <c r="AJ284" s="544" t="s">
        <v>20</v>
      </c>
      <c r="AK284" s="544" t="s">
        <v>20</v>
      </c>
      <c r="AL284" s="398"/>
    </row>
    <row r="285" spans="1:38" ht="24.95" customHeight="1">
      <c r="A285" s="26">
        <v>6</v>
      </c>
      <c r="B285" s="27" t="s">
        <v>71</v>
      </c>
      <c r="C285" s="97">
        <v>0</v>
      </c>
      <c r="D285" s="328">
        <v>0</v>
      </c>
      <c r="E285" s="123">
        <v>0</v>
      </c>
      <c r="F285" s="328">
        <f t="shared" si="155"/>
        <v>0</v>
      </c>
      <c r="G285" s="421">
        <v>0</v>
      </c>
      <c r="H285" s="123">
        <v>0</v>
      </c>
      <c r="I285" s="123">
        <v>0</v>
      </c>
      <c r="J285" s="124"/>
      <c r="K285" s="380"/>
      <c r="O285" s="26">
        <v>6</v>
      </c>
      <c r="P285" s="27" t="s">
        <v>71</v>
      </c>
      <c r="Q285" s="123">
        <v>0</v>
      </c>
      <c r="R285" s="123">
        <v>0</v>
      </c>
      <c r="S285" s="544" t="s">
        <v>20</v>
      </c>
      <c r="T285" s="544" t="s">
        <v>20</v>
      </c>
      <c r="U285" s="544" t="s">
        <v>20</v>
      </c>
      <c r="V285" s="544" t="s">
        <v>20</v>
      </c>
      <c r="W285" s="544" t="s">
        <v>20</v>
      </c>
      <c r="X285" s="124"/>
      <c r="AC285" s="26">
        <v>6</v>
      </c>
      <c r="AD285" s="27" t="s">
        <v>71</v>
      </c>
      <c r="AE285" s="123">
        <v>0</v>
      </c>
      <c r="AF285" s="123">
        <v>0</v>
      </c>
      <c r="AG285" s="544" t="s">
        <v>20</v>
      </c>
      <c r="AH285" s="544" t="s">
        <v>20</v>
      </c>
      <c r="AI285" s="544" t="s">
        <v>20</v>
      </c>
      <c r="AJ285" s="544" t="s">
        <v>20</v>
      </c>
      <c r="AK285" s="544" t="s">
        <v>20</v>
      </c>
      <c r="AL285" s="398"/>
    </row>
    <row r="286" spans="1:38" ht="24.95" customHeight="1">
      <c r="A286" s="26">
        <v>7</v>
      </c>
      <c r="B286" s="27" t="s">
        <v>72</v>
      </c>
      <c r="C286" s="97">
        <v>0</v>
      </c>
      <c r="D286" s="328">
        <v>0</v>
      </c>
      <c r="E286" s="123">
        <v>0</v>
      </c>
      <c r="F286" s="328">
        <f t="shared" si="155"/>
        <v>0</v>
      </c>
      <c r="G286" s="421">
        <v>0</v>
      </c>
      <c r="H286" s="123">
        <v>0</v>
      </c>
      <c r="I286" s="123">
        <v>0</v>
      </c>
      <c r="J286" s="124"/>
      <c r="K286" s="380"/>
      <c r="O286" s="26">
        <v>7</v>
      </c>
      <c r="P286" s="27" t="s">
        <v>72</v>
      </c>
      <c r="Q286" s="123">
        <v>0</v>
      </c>
      <c r="R286" s="123">
        <v>0</v>
      </c>
      <c r="S286" s="544" t="s">
        <v>20</v>
      </c>
      <c r="T286" s="544" t="s">
        <v>20</v>
      </c>
      <c r="U286" s="544" t="s">
        <v>20</v>
      </c>
      <c r="V286" s="544" t="s">
        <v>20</v>
      </c>
      <c r="W286" s="544" t="s">
        <v>20</v>
      </c>
      <c r="X286" s="124"/>
      <c r="AC286" s="26">
        <v>7</v>
      </c>
      <c r="AD286" s="27" t="s">
        <v>72</v>
      </c>
      <c r="AE286" s="123">
        <v>0</v>
      </c>
      <c r="AF286" s="123">
        <v>0</v>
      </c>
      <c r="AG286" s="544" t="s">
        <v>20</v>
      </c>
      <c r="AH286" s="544" t="s">
        <v>20</v>
      </c>
      <c r="AI286" s="544" t="s">
        <v>20</v>
      </c>
      <c r="AJ286" s="544" t="s">
        <v>20</v>
      </c>
      <c r="AK286" s="544" t="s">
        <v>20</v>
      </c>
      <c r="AL286" s="398"/>
    </row>
    <row r="287" spans="1:38" ht="24.95" customHeight="1">
      <c r="A287" s="26">
        <v>8</v>
      </c>
      <c r="B287" s="27" t="s">
        <v>73</v>
      </c>
      <c r="C287" s="97">
        <v>0</v>
      </c>
      <c r="D287" s="328">
        <v>0</v>
      </c>
      <c r="E287" s="123">
        <v>0</v>
      </c>
      <c r="F287" s="328">
        <f t="shared" si="155"/>
        <v>0</v>
      </c>
      <c r="G287" s="421">
        <v>0</v>
      </c>
      <c r="H287" s="123">
        <v>0</v>
      </c>
      <c r="I287" s="123">
        <v>0</v>
      </c>
      <c r="J287" s="124"/>
      <c r="K287" s="380"/>
      <c r="O287" s="26">
        <v>8</v>
      </c>
      <c r="P287" s="27" t="s">
        <v>73</v>
      </c>
      <c r="Q287" s="123">
        <v>0</v>
      </c>
      <c r="R287" s="123">
        <v>0</v>
      </c>
      <c r="S287" s="544" t="s">
        <v>20</v>
      </c>
      <c r="T287" s="544" t="s">
        <v>20</v>
      </c>
      <c r="U287" s="544" t="s">
        <v>20</v>
      </c>
      <c r="V287" s="544" t="s">
        <v>20</v>
      </c>
      <c r="W287" s="544" t="s">
        <v>20</v>
      </c>
      <c r="X287" s="124"/>
      <c r="AC287" s="26">
        <v>8</v>
      </c>
      <c r="AD287" s="27" t="s">
        <v>73</v>
      </c>
      <c r="AE287" s="123">
        <v>0</v>
      </c>
      <c r="AF287" s="123">
        <v>0</v>
      </c>
      <c r="AG287" s="544" t="s">
        <v>20</v>
      </c>
      <c r="AH287" s="544" t="s">
        <v>20</v>
      </c>
      <c r="AI287" s="544" t="s">
        <v>20</v>
      </c>
      <c r="AJ287" s="544" t="s">
        <v>20</v>
      </c>
      <c r="AK287" s="544" t="s">
        <v>20</v>
      </c>
      <c r="AL287" s="398"/>
    </row>
    <row r="288" spans="1:38" ht="24.95" customHeight="1">
      <c r="A288" s="26">
        <v>9</v>
      </c>
      <c r="B288" s="27" t="s">
        <v>74</v>
      </c>
      <c r="C288" s="97">
        <v>0</v>
      </c>
      <c r="D288" s="328">
        <v>0</v>
      </c>
      <c r="E288" s="123">
        <v>0</v>
      </c>
      <c r="F288" s="328">
        <f t="shared" si="155"/>
        <v>0</v>
      </c>
      <c r="G288" s="421">
        <v>0</v>
      </c>
      <c r="H288" s="123">
        <v>0</v>
      </c>
      <c r="I288" s="123">
        <v>0</v>
      </c>
      <c r="J288" s="124"/>
      <c r="K288" s="380"/>
      <c r="O288" s="26">
        <v>9</v>
      </c>
      <c r="P288" s="27" t="s">
        <v>74</v>
      </c>
      <c r="Q288" s="97" t="s">
        <v>20</v>
      </c>
      <c r="R288" s="97" t="s">
        <v>20</v>
      </c>
      <c r="S288" s="123">
        <v>0</v>
      </c>
      <c r="T288" s="97" t="s">
        <v>20</v>
      </c>
      <c r="U288" s="425" t="s">
        <v>20</v>
      </c>
      <c r="V288" s="394" t="s">
        <v>20</v>
      </c>
      <c r="W288" s="394" t="s">
        <v>20</v>
      </c>
      <c r="X288" s="124"/>
      <c r="AC288" s="26">
        <v>9</v>
      </c>
      <c r="AD288" s="27" t="s">
        <v>74</v>
      </c>
      <c r="AE288" s="97" t="s">
        <v>20</v>
      </c>
      <c r="AF288" s="97" t="s">
        <v>20</v>
      </c>
      <c r="AG288" s="123">
        <v>0</v>
      </c>
      <c r="AH288" s="97" t="s">
        <v>20</v>
      </c>
      <c r="AI288" s="425" t="s">
        <v>20</v>
      </c>
      <c r="AJ288" s="394" t="s">
        <v>20</v>
      </c>
      <c r="AK288" s="394" t="s">
        <v>20</v>
      </c>
      <c r="AL288" s="398"/>
    </row>
    <row r="289" spans="1:38" ht="24.95" customHeight="1">
      <c r="A289" s="26">
        <v>10</v>
      </c>
      <c r="B289" s="27" t="s">
        <v>75</v>
      </c>
      <c r="C289" s="97">
        <v>0</v>
      </c>
      <c r="D289" s="328">
        <v>0</v>
      </c>
      <c r="E289" s="123">
        <v>0</v>
      </c>
      <c r="F289" s="328">
        <f t="shared" si="155"/>
        <v>0</v>
      </c>
      <c r="G289" s="421">
        <v>0</v>
      </c>
      <c r="H289" s="123">
        <v>0</v>
      </c>
      <c r="I289" s="123">
        <v>0</v>
      </c>
      <c r="J289" s="124"/>
      <c r="K289" s="380"/>
      <c r="O289" s="26">
        <v>10</v>
      </c>
      <c r="P289" s="27" t="s">
        <v>75</v>
      </c>
      <c r="Q289" s="123">
        <v>0</v>
      </c>
      <c r="R289" s="123">
        <v>0</v>
      </c>
      <c r="S289" s="544" t="s">
        <v>20</v>
      </c>
      <c r="T289" s="544" t="s">
        <v>20</v>
      </c>
      <c r="U289" s="548" t="s">
        <v>20</v>
      </c>
      <c r="V289" s="123">
        <v>0</v>
      </c>
      <c r="W289" s="544" t="s">
        <v>20</v>
      </c>
      <c r="X289" s="124"/>
      <c r="AC289" s="26">
        <v>10</v>
      </c>
      <c r="AD289" s="27" t="s">
        <v>75</v>
      </c>
      <c r="AE289" s="123">
        <v>0</v>
      </c>
      <c r="AF289" s="123">
        <v>0</v>
      </c>
      <c r="AG289" s="544" t="s">
        <v>20</v>
      </c>
      <c r="AH289" s="544" t="s">
        <v>20</v>
      </c>
      <c r="AI289" s="548" t="s">
        <v>20</v>
      </c>
      <c r="AJ289" s="123">
        <v>0</v>
      </c>
      <c r="AK289" s="544" t="s">
        <v>20</v>
      </c>
      <c r="AL289" s="398"/>
    </row>
    <row r="290" spans="1:38" ht="24.95" customHeight="1">
      <c r="A290" s="26">
        <v>11</v>
      </c>
      <c r="B290" s="311" t="s">
        <v>76</v>
      </c>
      <c r="C290" s="97">
        <v>6</v>
      </c>
      <c r="D290" s="328">
        <v>0</v>
      </c>
      <c r="E290" s="123">
        <v>0</v>
      </c>
      <c r="F290" s="328">
        <f>C290</f>
        <v>6</v>
      </c>
      <c r="G290" s="421">
        <v>0</v>
      </c>
      <c r="H290" s="123">
        <v>0</v>
      </c>
      <c r="I290" s="123">
        <v>8</v>
      </c>
      <c r="J290" s="124"/>
      <c r="K290" s="380"/>
      <c r="O290" s="26">
        <v>11</v>
      </c>
      <c r="P290" s="368" t="s">
        <v>76</v>
      </c>
      <c r="Q290" s="97">
        <v>6</v>
      </c>
      <c r="R290" s="328">
        <v>6</v>
      </c>
      <c r="S290" s="394" t="s">
        <v>20</v>
      </c>
      <c r="T290" s="328">
        <f>Q290</f>
        <v>6</v>
      </c>
      <c r="U290" s="421">
        <f>V290/1000*R290</f>
        <v>1.0979999999999999</v>
      </c>
      <c r="V290" s="123">
        <v>183</v>
      </c>
      <c r="W290" s="123">
        <v>8</v>
      </c>
      <c r="X290" s="124"/>
      <c r="AC290" s="26">
        <v>11</v>
      </c>
      <c r="AD290" s="35" t="s">
        <v>76</v>
      </c>
      <c r="AE290" s="97">
        <v>6</v>
      </c>
      <c r="AF290" s="328">
        <v>6</v>
      </c>
      <c r="AG290" s="394" t="s">
        <v>20</v>
      </c>
      <c r="AH290" s="328">
        <f>AE290</f>
        <v>6</v>
      </c>
      <c r="AI290" s="421">
        <f>AJ290/1000*AF290</f>
        <v>1.0979999999999999</v>
      </c>
      <c r="AJ290" s="123">
        <v>183</v>
      </c>
      <c r="AK290" s="123">
        <v>8</v>
      </c>
      <c r="AL290" s="398"/>
    </row>
    <row r="291" spans="1:38" ht="24.95" customHeight="1">
      <c r="A291" s="664" t="s">
        <v>77</v>
      </c>
      <c r="B291" s="665"/>
      <c r="C291" s="426">
        <f>SUM(C280:C290)</f>
        <v>6</v>
      </c>
      <c r="D291" s="427">
        <f>SUM(D280:D290)</f>
        <v>0</v>
      </c>
      <c r="E291" s="317">
        <f>SUM(E280:E290)</f>
        <v>0</v>
      </c>
      <c r="F291" s="428">
        <f>SUM(F280:F290)</f>
        <v>6</v>
      </c>
      <c r="G291" s="429">
        <f>SUM(G280:G290)</f>
        <v>0</v>
      </c>
      <c r="H291" s="317">
        <f>H290</f>
        <v>0</v>
      </c>
      <c r="I291" s="382">
        <f>SUM(I280:I290)</f>
        <v>8</v>
      </c>
      <c r="J291" s="383"/>
      <c r="K291" s="380"/>
      <c r="O291" s="664" t="s">
        <v>77</v>
      </c>
      <c r="P291" s="665"/>
      <c r="Q291" s="426">
        <f>SUM(Q280:Q290)</f>
        <v>6</v>
      </c>
      <c r="R291" s="427">
        <f>SUM(R280:R290)</f>
        <v>6</v>
      </c>
      <c r="S291" s="317">
        <f>SUM(S280:S290)</f>
        <v>0</v>
      </c>
      <c r="T291" s="428">
        <f>SUM(T280:T290)</f>
        <v>6</v>
      </c>
      <c r="U291" s="429">
        <f>SUM(U280:U290)</f>
        <v>1.0979999999999999</v>
      </c>
      <c r="V291" s="317">
        <f>V290</f>
        <v>183</v>
      </c>
      <c r="W291" s="382">
        <f>SUM(W280:W290)</f>
        <v>8</v>
      </c>
      <c r="X291" s="383"/>
      <c r="AC291" s="664" t="s">
        <v>77</v>
      </c>
      <c r="AD291" s="665"/>
      <c r="AE291" s="426">
        <f>SUM(AE280:AE290)</f>
        <v>6</v>
      </c>
      <c r="AF291" s="427">
        <f>SUM(AF280:AF290)</f>
        <v>6</v>
      </c>
      <c r="AG291" s="317">
        <f>SUM(AG280:AG290)</f>
        <v>0</v>
      </c>
      <c r="AH291" s="428">
        <f>SUM(AH280:AH290)</f>
        <v>6</v>
      </c>
      <c r="AI291" s="429">
        <f>SUM(AI280:AI290)</f>
        <v>1.0979999999999999</v>
      </c>
      <c r="AJ291" s="317">
        <f>AJ290</f>
        <v>183</v>
      </c>
      <c r="AK291" s="382">
        <f>SUM(AK280:AK290)</f>
        <v>8</v>
      </c>
      <c r="AL291" s="432"/>
    </row>
    <row r="292" spans="1:38" ht="24.95" customHeight="1">
      <c r="C292" s="273">
        <f>C291-Q291</f>
        <v>0</v>
      </c>
      <c r="D292" s="273">
        <f t="shared" ref="D292:I292" si="156">D291-R291</f>
        <v>-6</v>
      </c>
      <c r="E292" s="273">
        <f t="shared" si="156"/>
        <v>0</v>
      </c>
      <c r="F292" s="273">
        <f t="shared" si="156"/>
        <v>0</v>
      </c>
      <c r="G292" s="273">
        <f t="shared" si="156"/>
        <v>-1.0979999999999999</v>
      </c>
      <c r="H292" s="273">
        <f t="shared" si="156"/>
        <v>-183</v>
      </c>
      <c r="I292" s="273">
        <f t="shared" si="156"/>
        <v>0</v>
      </c>
      <c r="Q292" s="273">
        <f t="shared" ref="Q292:W292" si="157">Q291-AE291</f>
        <v>0</v>
      </c>
      <c r="R292" s="273">
        <f t="shared" si="157"/>
        <v>0</v>
      </c>
      <c r="S292" s="273">
        <f t="shared" si="157"/>
        <v>0</v>
      </c>
      <c r="T292" s="273">
        <f t="shared" si="157"/>
        <v>0</v>
      </c>
      <c r="U292" s="273">
        <f t="shared" si="157"/>
        <v>0</v>
      </c>
      <c r="V292" s="273">
        <f t="shared" si="157"/>
        <v>0</v>
      </c>
      <c r="W292" s="273">
        <f t="shared" si="157"/>
        <v>0</v>
      </c>
    </row>
    <row r="293" spans="1:38" ht="24.95" customHeight="1">
      <c r="B293" s="6" t="s">
        <v>12</v>
      </c>
      <c r="C293" s="320" t="s">
        <v>33</v>
      </c>
      <c r="D293" s="2"/>
      <c r="E293" s="2"/>
      <c r="G293" s="1"/>
      <c r="H293" t="e">
        <f>G291/D291*1000</f>
        <v>#DIV/0!</v>
      </c>
      <c r="P293" s="6" t="s">
        <v>12</v>
      </c>
      <c r="Q293" s="320" t="s">
        <v>33</v>
      </c>
      <c r="R293" s="2"/>
      <c r="S293" s="2"/>
      <c r="U293" s="1"/>
      <c r="V293">
        <f>U291/R291*1000</f>
        <v>182.99999999999997</v>
      </c>
      <c r="AI293" s="1" t="s">
        <v>112</v>
      </c>
    </row>
    <row r="294" spans="1:38" ht="24.95" customHeight="1">
      <c r="B294" s="6" t="s">
        <v>13</v>
      </c>
      <c r="C294" s="320" t="s">
        <v>34</v>
      </c>
      <c r="D294" s="2"/>
      <c r="E294" s="2"/>
      <c r="G294" s="650"/>
      <c r="H294" s="637"/>
      <c r="I294" s="637"/>
      <c r="J294" s="637"/>
      <c r="K294" s="48"/>
      <c r="P294" s="6" t="s">
        <v>13</v>
      </c>
      <c r="Q294" s="320" t="s">
        <v>34</v>
      </c>
      <c r="R294" s="2"/>
      <c r="S294" s="2"/>
      <c r="U294" s="650"/>
      <c r="V294" s="637"/>
      <c r="W294" s="637"/>
      <c r="X294" s="637"/>
      <c r="AI294" s="650" t="s">
        <v>105</v>
      </c>
      <c r="AJ294" s="637"/>
      <c r="AK294" s="637"/>
      <c r="AL294" s="637"/>
    </row>
    <row r="295" spans="1:38" ht="24.95" customHeight="1">
      <c r="B295" s="6" t="s">
        <v>14</v>
      </c>
      <c r="C295" s="320" t="s">
        <v>35</v>
      </c>
      <c r="D295" s="2"/>
      <c r="E295" s="2"/>
      <c r="G295" s="1"/>
      <c r="P295" s="6" t="s">
        <v>14</v>
      </c>
      <c r="Q295" s="320" t="s">
        <v>35</v>
      </c>
      <c r="R295" s="2"/>
      <c r="S295" s="2"/>
      <c r="U295" s="1"/>
      <c r="AI295" s="1" t="s">
        <v>113</v>
      </c>
    </row>
    <row r="296" spans="1:38" ht="24.95" customHeight="1">
      <c r="G296" s="650"/>
      <c r="H296" s="650"/>
      <c r="I296" s="650"/>
      <c r="J296" s="650"/>
      <c r="K296" s="47"/>
      <c r="U296" s="650"/>
      <c r="V296" s="650"/>
      <c r="W296" s="650"/>
      <c r="X296" s="650"/>
      <c r="AI296" s="650"/>
      <c r="AJ296" s="650"/>
      <c r="AK296" s="650"/>
      <c r="AL296" s="650"/>
    </row>
    <row r="297" spans="1:38" ht="24.95" customHeight="1">
      <c r="G297" s="48"/>
      <c r="H297" s="48"/>
      <c r="I297" s="48"/>
      <c r="J297" s="48"/>
      <c r="K297" s="48"/>
      <c r="U297" s="48"/>
      <c r="V297" s="48"/>
      <c r="W297" s="48"/>
      <c r="X297" s="48"/>
      <c r="AI297" s="48"/>
      <c r="AJ297" s="48"/>
      <c r="AK297" s="48"/>
      <c r="AL297" s="48"/>
    </row>
    <row r="298" spans="1:38" ht="24.95" customHeight="1">
      <c r="G298" s="637"/>
      <c r="H298" s="637"/>
      <c r="I298" s="637"/>
      <c r="J298" s="637"/>
      <c r="K298" s="48"/>
      <c r="U298" s="637"/>
      <c r="V298" s="637"/>
      <c r="W298" s="637"/>
      <c r="X298" s="637"/>
      <c r="AI298" s="637"/>
      <c r="AJ298" s="637"/>
      <c r="AK298" s="637"/>
      <c r="AL298" s="637"/>
    </row>
    <row r="299" spans="1:38" ht="24.95" customHeight="1">
      <c r="G299" s="637"/>
      <c r="H299" s="637"/>
      <c r="I299" s="637"/>
      <c r="J299" s="637"/>
      <c r="K299" s="48"/>
      <c r="U299" s="637"/>
      <c r="V299" s="637"/>
      <c r="W299" s="637"/>
      <c r="X299" s="637"/>
      <c r="AI299" s="637"/>
      <c r="AJ299" s="637"/>
      <c r="AK299" s="637"/>
      <c r="AL299" s="637"/>
    </row>
    <row r="300" spans="1:38" ht="24.95" customHeight="1"/>
    <row r="302" spans="1:38" ht="15">
      <c r="G302" s="653"/>
      <c r="H302" s="653"/>
      <c r="I302" s="653"/>
      <c r="J302" s="653"/>
      <c r="K302" s="46"/>
      <c r="U302" s="653"/>
      <c r="V302" s="653"/>
      <c r="W302" s="653"/>
      <c r="X302" s="653"/>
      <c r="AI302" s="653"/>
      <c r="AJ302" s="653"/>
      <c r="AK302" s="653"/>
      <c r="AL302" s="653"/>
    </row>
    <row r="303" spans="1:38">
      <c r="G303" s="637"/>
      <c r="H303" s="637"/>
      <c r="I303" s="637"/>
      <c r="J303" s="637"/>
      <c r="K303" s="48"/>
      <c r="U303" s="637"/>
      <c r="V303" s="637"/>
      <c r="W303" s="637"/>
      <c r="X303" s="637"/>
      <c r="AI303" s="637"/>
      <c r="AJ303" s="637"/>
      <c r="AK303" s="637"/>
      <c r="AL303" s="637"/>
    </row>
    <row r="304" spans="1:38">
      <c r="G304" s="637"/>
      <c r="H304" s="637"/>
      <c r="I304" s="637"/>
      <c r="J304" s="637"/>
      <c r="K304" s="48"/>
      <c r="U304" s="637"/>
      <c r="V304" s="637"/>
      <c r="W304" s="637"/>
      <c r="X304" s="637"/>
      <c r="AI304" s="637"/>
      <c r="AJ304" s="637"/>
      <c r="AK304" s="637"/>
      <c r="AL304" s="637"/>
    </row>
    <row r="305" spans="1:38">
      <c r="G305" s="48"/>
      <c r="H305" s="48"/>
      <c r="I305" s="48"/>
      <c r="J305" s="48"/>
      <c r="K305" s="48"/>
      <c r="U305" s="48"/>
      <c r="V305" s="48"/>
      <c r="W305" s="48"/>
      <c r="X305" s="48"/>
      <c r="AI305" s="48"/>
      <c r="AJ305" s="48"/>
      <c r="AK305" s="48"/>
      <c r="AL305" s="48"/>
    </row>
    <row r="306" spans="1:38">
      <c r="G306" s="48"/>
      <c r="H306" s="48"/>
      <c r="I306" s="48"/>
      <c r="J306" s="48"/>
      <c r="K306" s="48"/>
      <c r="U306" s="48"/>
      <c r="V306" s="48"/>
      <c r="W306" s="48"/>
      <c r="X306" s="48"/>
      <c r="AI306" s="48"/>
      <c r="AJ306" s="48"/>
      <c r="AK306" s="48"/>
      <c r="AL306" s="48"/>
    </row>
    <row r="307" spans="1:38">
      <c r="G307" s="48"/>
      <c r="H307" s="48"/>
      <c r="I307" s="48"/>
      <c r="J307" s="48"/>
      <c r="K307" s="48"/>
      <c r="U307" s="48"/>
      <c r="V307" s="48"/>
      <c r="W307" s="48"/>
      <c r="X307" s="48"/>
      <c r="AI307" s="48"/>
      <c r="AJ307" s="48"/>
      <c r="AK307" s="48"/>
      <c r="AL307" s="48"/>
    </row>
    <row r="308" spans="1:38">
      <c r="G308" s="48"/>
      <c r="H308" s="48"/>
      <c r="I308" s="48"/>
      <c r="J308" s="48"/>
      <c r="K308" s="48"/>
      <c r="U308" s="48"/>
      <c r="V308" s="48"/>
      <c r="W308" s="48"/>
      <c r="X308" s="48"/>
      <c r="AI308" s="48"/>
      <c r="AJ308" s="48"/>
      <c r="AK308" s="48"/>
      <c r="AL308" s="48"/>
    </row>
    <row r="309" spans="1:38">
      <c r="G309" s="48"/>
      <c r="H309" s="48"/>
      <c r="I309" s="48"/>
      <c r="J309" s="48"/>
      <c r="K309" s="48"/>
      <c r="U309" s="48"/>
      <c r="V309" s="48"/>
      <c r="W309" s="48"/>
      <c r="X309" s="48"/>
      <c r="AI309" s="48"/>
      <c r="AJ309" s="48"/>
      <c r="AK309" s="48"/>
      <c r="AL309" s="48"/>
    </row>
    <row r="310" spans="1:38">
      <c r="G310" s="48"/>
      <c r="H310" s="48"/>
      <c r="I310" s="48"/>
      <c r="J310" s="48"/>
      <c r="K310" s="48"/>
      <c r="U310" s="48"/>
      <c r="V310" s="48"/>
      <c r="W310" s="48"/>
      <c r="X310" s="48"/>
      <c r="AI310" s="48"/>
      <c r="AJ310" s="48"/>
      <c r="AK310" s="48"/>
      <c r="AL310" s="48"/>
    </row>
    <row r="311" spans="1:38">
      <c r="G311" s="48"/>
      <c r="H311" s="48"/>
      <c r="I311" s="48"/>
      <c r="J311" s="48"/>
      <c r="K311" s="48"/>
      <c r="U311" s="48"/>
      <c r="V311" s="48"/>
      <c r="W311" s="48"/>
      <c r="X311" s="48"/>
      <c r="AI311" s="48"/>
      <c r="AJ311" s="48"/>
      <c r="AK311" s="48"/>
      <c r="AL311" s="48"/>
    </row>
    <row r="312" spans="1:38">
      <c r="G312" s="48"/>
      <c r="H312" s="48"/>
      <c r="I312" s="48"/>
      <c r="J312" s="48"/>
      <c r="K312" s="48"/>
      <c r="U312" s="48"/>
      <c r="V312" s="48"/>
      <c r="W312" s="48"/>
      <c r="X312" s="48"/>
      <c r="AI312" s="48"/>
      <c r="AJ312" s="48"/>
      <c r="AK312" s="48"/>
      <c r="AL312" s="48"/>
    </row>
    <row r="313" spans="1:38">
      <c r="G313" s="48"/>
      <c r="H313" s="48"/>
      <c r="I313" s="48"/>
      <c r="J313" s="48"/>
      <c r="K313" s="48"/>
      <c r="U313" s="48"/>
      <c r="V313" s="48"/>
      <c r="W313" s="48"/>
      <c r="X313" s="48"/>
      <c r="AI313" s="48"/>
      <c r="AJ313" s="48"/>
      <c r="AK313" s="48"/>
      <c r="AL313" s="48"/>
    </row>
    <row r="314" spans="1:38">
      <c r="G314" s="48"/>
      <c r="H314" s="48"/>
      <c r="I314" s="48"/>
      <c r="J314" s="48"/>
      <c r="K314" s="48"/>
      <c r="U314" s="48"/>
      <c r="V314" s="48"/>
      <c r="W314" s="48"/>
      <c r="X314" s="48"/>
      <c r="AI314" s="48"/>
      <c r="AJ314" s="48"/>
      <c r="AK314" s="48"/>
      <c r="AL314" s="48"/>
    </row>
    <row r="315" spans="1:38">
      <c r="G315" s="48"/>
      <c r="H315" s="48"/>
      <c r="I315" s="48"/>
      <c r="J315" s="48"/>
      <c r="K315" s="48"/>
      <c r="U315" s="48"/>
      <c r="V315" s="48"/>
      <c r="W315" s="48"/>
      <c r="X315" s="48"/>
      <c r="AI315" s="48"/>
      <c r="AJ315" s="48"/>
      <c r="AK315" s="48"/>
      <c r="AL315" s="48"/>
    </row>
    <row r="316" spans="1:38">
      <c r="G316" s="48"/>
      <c r="H316" s="48"/>
      <c r="I316" s="48"/>
      <c r="J316" s="48"/>
      <c r="K316" s="48"/>
      <c r="U316" s="48"/>
      <c r="V316" s="48"/>
      <c r="W316" s="48"/>
      <c r="X316" s="48"/>
      <c r="AI316" s="48"/>
      <c r="AJ316" s="48"/>
      <c r="AK316" s="48"/>
      <c r="AL316" s="48"/>
    </row>
    <row r="317" spans="1:38" ht="24.95" customHeight="1">
      <c r="A317" s="632" t="s">
        <v>59</v>
      </c>
      <c r="B317" s="632"/>
      <c r="C317" s="632"/>
      <c r="D317" s="632"/>
      <c r="E317" s="632"/>
      <c r="F317" s="632"/>
      <c r="G317" s="632"/>
      <c r="H317" s="632"/>
      <c r="I317" s="632"/>
      <c r="J317" s="632"/>
      <c r="K317" s="296"/>
      <c r="O317" s="632" t="s">
        <v>59</v>
      </c>
      <c r="P317" s="632"/>
      <c r="Q317" s="632"/>
      <c r="R317" s="632"/>
      <c r="S317" s="632"/>
      <c r="T317" s="632"/>
      <c r="U317" s="632"/>
      <c r="V317" s="632"/>
      <c r="W317" s="632"/>
      <c r="X317" s="632"/>
      <c r="AC317" s="663" t="s">
        <v>59</v>
      </c>
      <c r="AD317" s="663"/>
      <c r="AE317" s="663"/>
      <c r="AF317" s="663"/>
      <c r="AG317" s="663"/>
      <c r="AH317" s="663"/>
      <c r="AI317" s="663"/>
      <c r="AJ317" s="663"/>
      <c r="AK317" s="663"/>
      <c r="AL317" s="663"/>
    </row>
    <row r="318" spans="1:38" ht="24.95" customHeight="1">
      <c r="A318" s="632" t="s">
        <v>1</v>
      </c>
      <c r="B318" s="632"/>
      <c r="C318" s="632"/>
      <c r="D318" s="632"/>
      <c r="E318" s="632"/>
      <c r="F318" s="632"/>
      <c r="G318" s="632"/>
      <c r="H318" s="632"/>
      <c r="I318" s="632"/>
      <c r="J318" s="632"/>
      <c r="K318" s="296"/>
      <c r="O318" s="632" t="s">
        <v>1</v>
      </c>
      <c r="P318" s="632"/>
      <c r="Q318" s="632"/>
      <c r="R318" s="632"/>
      <c r="S318" s="632"/>
      <c r="T318" s="632"/>
      <c r="U318" s="632"/>
      <c r="V318" s="632"/>
      <c r="W318" s="632"/>
      <c r="X318" s="632"/>
      <c r="AC318" s="663" t="s">
        <v>1</v>
      </c>
      <c r="AD318" s="663"/>
      <c r="AE318" s="663"/>
      <c r="AF318" s="663"/>
      <c r="AG318" s="663"/>
      <c r="AH318" s="663"/>
      <c r="AI318" s="663"/>
      <c r="AJ318" s="663"/>
      <c r="AK318" s="663"/>
      <c r="AL318" s="663"/>
    </row>
    <row r="319" spans="1:38" ht="24.95" customHeight="1">
      <c r="A319" s="632" t="s">
        <v>206</v>
      </c>
      <c r="B319" s="632"/>
      <c r="C319" s="632"/>
      <c r="D319" s="632"/>
      <c r="E319" s="632"/>
      <c r="F319" s="632"/>
      <c r="G319" s="632"/>
      <c r="H319" s="632"/>
      <c r="I319" s="632"/>
      <c r="J319" s="632"/>
      <c r="K319" s="623"/>
      <c r="O319" s="632" t="s">
        <v>60</v>
      </c>
      <c r="P319" s="632"/>
      <c r="Q319" s="632"/>
      <c r="R319" s="632"/>
      <c r="S319" s="632"/>
      <c r="T319" s="632"/>
      <c r="U319" s="632"/>
      <c r="V319" s="632"/>
      <c r="W319" s="632"/>
      <c r="X319" s="632"/>
      <c r="AC319" s="663" t="s">
        <v>107</v>
      </c>
      <c r="AD319" s="663"/>
      <c r="AE319" s="663"/>
      <c r="AF319" s="663"/>
      <c r="AG319" s="663"/>
      <c r="AH319" s="663"/>
      <c r="AI319" s="663"/>
      <c r="AJ319" s="663"/>
      <c r="AK319" s="663"/>
      <c r="AL319" s="663"/>
    </row>
    <row r="320" spans="1:38" ht="24.9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</row>
    <row r="321" spans="1:38" ht="24.95" customHeight="1">
      <c r="A321" t="s">
        <v>61</v>
      </c>
      <c r="C321" t="s">
        <v>88</v>
      </c>
      <c r="O321" t="s">
        <v>61</v>
      </c>
      <c r="Q321" t="s">
        <v>88</v>
      </c>
      <c r="AC321" t="s">
        <v>61</v>
      </c>
      <c r="AE321" t="s">
        <v>88</v>
      </c>
    </row>
    <row r="322" spans="1:38" ht="24.95" customHeight="1"/>
    <row r="323" spans="1:38" ht="30" customHeight="1">
      <c r="A323" s="297" t="s">
        <v>4</v>
      </c>
      <c r="B323" s="298" t="s">
        <v>63</v>
      </c>
      <c r="C323" s="298" t="s">
        <v>12</v>
      </c>
      <c r="D323" s="298" t="s">
        <v>13</v>
      </c>
      <c r="E323" s="298" t="s">
        <v>14</v>
      </c>
      <c r="F323" s="299" t="s">
        <v>89</v>
      </c>
      <c r="G323" s="299" t="s">
        <v>8</v>
      </c>
      <c r="H323" s="299" t="s">
        <v>9</v>
      </c>
      <c r="I323" s="299" t="s">
        <v>10</v>
      </c>
      <c r="J323" s="330" t="s">
        <v>11</v>
      </c>
      <c r="K323" s="401" t="s">
        <v>102</v>
      </c>
      <c r="O323" s="297" t="s">
        <v>4</v>
      </c>
      <c r="P323" s="298" t="s">
        <v>63</v>
      </c>
      <c r="Q323" s="298" t="s">
        <v>12</v>
      </c>
      <c r="R323" s="298" t="s">
        <v>13</v>
      </c>
      <c r="S323" s="298" t="s">
        <v>14</v>
      </c>
      <c r="T323" s="299" t="s">
        <v>89</v>
      </c>
      <c r="U323" s="299" t="s">
        <v>8</v>
      </c>
      <c r="V323" s="299" t="s">
        <v>9</v>
      </c>
      <c r="W323" s="299" t="s">
        <v>10</v>
      </c>
      <c r="X323" s="330" t="s">
        <v>11</v>
      </c>
      <c r="Z323" s="357" t="s">
        <v>103</v>
      </c>
      <c r="AC323" s="297" t="s">
        <v>4</v>
      </c>
      <c r="AD323" s="298" t="s">
        <v>63</v>
      </c>
      <c r="AE323" s="298" t="s">
        <v>12</v>
      </c>
      <c r="AF323" s="298" t="s">
        <v>13</v>
      </c>
      <c r="AG323" s="298" t="s">
        <v>14</v>
      </c>
      <c r="AH323" s="299" t="s">
        <v>89</v>
      </c>
      <c r="AI323" s="299" t="s">
        <v>8</v>
      </c>
      <c r="AJ323" s="299" t="s">
        <v>9</v>
      </c>
      <c r="AK323" s="299" t="s">
        <v>10</v>
      </c>
      <c r="AL323" s="330" t="s">
        <v>11</v>
      </c>
    </row>
    <row r="324" spans="1:38" ht="24.95" customHeight="1">
      <c r="A324" s="300">
        <v>1</v>
      </c>
      <c r="B324" s="301">
        <v>2</v>
      </c>
      <c r="C324" s="301">
        <v>3</v>
      </c>
      <c r="D324" s="301">
        <v>4</v>
      </c>
      <c r="E324" s="301">
        <v>5</v>
      </c>
      <c r="F324" s="301">
        <v>6</v>
      </c>
      <c r="G324" s="301">
        <v>7</v>
      </c>
      <c r="H324" s="301">
        <v>8</v>
      </c>
      <c r="I324" s="301">
        <v>9</v>
      </c>
      <c r="J324" s="333">
        <v>10</v>
      </c>
      <c r="K324" s="334" t="s">
        <v>12</v>
      </c>
      <c r="L324" s="1" t="s">
        <v>13</v>
      </c>
      <c r="M324" s="1" t="s">
        <v>14</v>
      </c>
      <c r="N324" s="1" t="s">
        <v>65</v>
      </c>
      <c r="O324" s="300">
        <v>1</v>
      </c>
      <c r="P324" s="301">
        <v>2</v>
      </c>
      <c r="Q324" s="301">
        <v>3</v>
      </c>
      <c r="R324" s="301">
        <v>4</v>
      </c>
      <c r="S324" s="301">
        <v>5</v>
      </c>
      <c r="T324" s="301">
        <v>6</v>
      </c>
      <c r="U324" s="301">
        <v>7</v>
      </c>
      <c r="V324" s="301">
        <v>8</v>
      </c>
      <c r="W324" s="301">
        <v>9</v>
      </c>
      <c r="X324" s="333">
        <v>10</v>
      </c>
      <c r="Y324" s="1" t="s">
        <v>94</v>
      </c>
      <c r="Z324" s="1" t="s">
        <v>95</v>
      </c>
      <c r="AA324" s="1" t="s">
        <v>96</v>
      </c>
      <c r="AB324" s="403" t="s">
        <v>97</v>
      </c>
      <c r="AC324" s="300">
        <v>1</v>
      </c>
      <c r="AD324" s="301">
        <v>2</v>
      </c>
      <c r="AE324" s="301">
        <v>3</v>
      </c>
      <c r="AF324" s="301">
        <v>4</v>
      </c>
      <c r="AG324" s="301">
        <v>5</v>
      </c>
      <c r="AH324" s="301">
        <v>6</v>
      </c>
      <c r="AI324" s="301">
        <v>7</v>
      </c>
      <c r="AJ324" s="301">
        <v>8</v>
      </c>
      <c r="AK324" s="301">
        <v>9</v>
      </c>
      <c r="AL324" s="333">
        <v>10</v>
      </c>
    </row>
    <row r="325" spans="1:38" ht="24.95" customHeight="1">
      <c r="A325" s="16">
        <v>1</v>
      </c>
      <c r="B325" s="390" t="s">
        <v>82</v>
      </c>
      <c r="C325" s="123">
        <f>3+1</f>
        <v>4</v>
      </c>
      <c r="D325" s="123">
        <v>8</v>
      </c>
      <c r="E325" s="123">
        <f>17-1</f>
        <v>16</v>
      </c>
      <c r="F325" s="123">
        <f t="shared" ref="F325:F327" si="158">E325+D325+C325</f>
        <v>28</v>
      </c>
      <c r="G325" s="564">
        <f t="shared" ref="G325:G327" si="159">H325/1000*D325</f>
        <v>1.208</v>
      </c>
      <c r="H325" s="123">
        <v>151</v>
      </c>
      <c r="I325" s="123">
        <v>41</v>
      </c>
      <c r="J325" s="124">
        <f>F325-T325</f>
        <v>0</v>
      </c>
      <c r="K325" s="380">
        <f>C325-Q325</f>
        <v>0</v>
      </c>
      <c r="L325" s="380">
        <f t="shared" ref="L325:M329" si="160">D325-R325</f>
        <v>0</v>
      </c>
      <c r="M325" s="380">
        <f t="shared" si="160"/>
        <v>0</v>
      </c>
      <c r="N325" s="273">
        <f>I325-W325</f>
        <v>0</v>
      </c>
      <c r="O325" s="16">
        <v>1</v>
      </c>
      <c r="P325" s="338" t="s">
        <v>82</v>
      </c>
      <c r="Q325" s="123">
        <f>3+1</f>
        <v>4</v>
      </c>
      <c r="R325" s="123">
        <v>8</v>
      </c>
      <c r="S325" s="123">
        <f>17-1</f>
        <v>16</v>
      </c>
      <c r="T325" s="123">
        <f t="shared" ref="T325:T327" si="161">S325+R325+Q325</f>
        <v>28</v>
      </c>
      <c r="U325" s="328">
        <f t="shared" ref="U325:U327" si="162">V325/1000*R325</f>
        <v>1.208</v>
      </c>
      <c r="V325" s="123">
        <v>151</v>
      </c>
      <c r="W325" s="123">
        <v>41</v>
      </c>
      <c r="X325" s="124"/>
      <c r="AC325" s="16">
        <v>1</v>
      </c>
      <c r="AD325" s="17" t="s">
        <v>82</v>
      </c>
      <c r="AE325" s="123">
        <v>3</v>
      </c>
      <c r="AF325" s="123">
        <v>8</v>
      </c>
      <c r="AG325" s="123">
        <v>17</v>
      </c>
      <c r="AH325" s="123">
        <f t="shared" ref="AH325:AH327" si="163">AG325+AF325+AE325</f>
        <v>28</v>
      </c>
      <c r="AI325" s="328">
        <f t="shared" ref="AI325:AI327" si="164">AJ325/1000*AF325</f>
        <v>1.208</v>
      </c>
      <c r="AJ325" s="123">
        <v>151</v>
      </c>
      <c r="AK325" s="123">
        <v>41</v>
      </c>
      <c r="AL325" s="398"/>
    </row>
    <row r="326" spans="1:38" ht="24.95" customHeight="1">
      <c r="A326" s="22">
        <v>2</v>
      </c>
      <c r="B326" s="375" t="s">
        <v>67</v>
      </c>
      <c r="C326" s="123">
        <f>3-2</f>
        <v>1</v>
      </c>
      <c r="D326" s="123">
        <f>4+2-4</f>
        <v>2</v>
      </c>
      <c r="E326" s="123">
        <f>0.3+4-4</f>
        <v>0.29999999999999982</v>
      </c>
      <c r="F326" s="397">
        <f t="shared" si="158"/>
        <v>3.3</v>
      </c>
      <c r="G326" s="564">
        <f t="shared" si="159"/>
        <v>0.30199999999999999</v>
      </c>
      <c r="H326" s="123">
        <v>151</v>
      </c>
      <c r="I326" s="123">
        <f>34-2</f>
        <v>32</v>
      </c>
      <c r="J326" s="124">
        <f t="shared" ref="J326:J327" si="165">F326-T326</f>
        <v>0</v>
      </c>
      <c r="K326" s="380">
        <f t="shared" ref="K326:K329" si="166">C326-Q326</f>
        <v>0</v>
      </c>
      <c r="L326" s="380">
        <f t="shared" si="160"/>
        <v>0</v>
      </c>
      <c r="M326" s="380">
        <f t="shared" si="160"/>
        <v>0</v>
      </c>
      <c r="N326" s="273">
        <f t="shared" ref="N326:N329" si="167">I326-W326</f>
        <v>0</v>
      </c>
      <c r="O326" s="22">
        <v>2</v>
      </c>
      <c r="P326" s="339" t="s">
        <v>67</v>
      </c>
      <c r="Q326" s="123">
        <f>3-2</f>
        <v>1</v>
      </c>
      <c r="R326" s="123">
        <f>4+2-4</f>
        <v>2</v>
      </c>
      <c r="S326" s="123">
        <f>0.3+4-4</f>
        <v>0.29999999999999982</v>
      </c>
      <c r="T326" s="397">
        <f t="shared" si="161"/>
        <v>3.3</v>
      </c>
      <c r="U326" s="328">
        <f t="shared" si="162"/>
        <v>0.30199999999999999</v>
      </c>
      <c r="V326" s="123">
        <v>151</v>
      </c>
      <c r="W326" s="123">
        <f>34-2</f>
        <v>32</v>
      </c>
      <c r="X326" s="124"/>
      <c r="AC326" s="22">
        <v>2</v>
      </c>
      <c r="AD326" s="23" t="s">
        <v>67</v>
      </c>
      <c r="AE326" s="123">
        <v>2.6</v>
      </c>
      <c r="AF326" s="123">
        <v>4</v>
      </c>
      <c r="AG326" s="123">
        <v>0.3</v>
      </c>
      <c r="AH326" s="397">
        <f t="shared" si="163"/>
        <v>6.9</v>
      </c>
      <c r="AI326" s="328">
        <f t="shared" si="164"/>
        <v>0.60399999999999998</v>
      </c>
      <c r="AJ326" s="123">
        <v>151</v>
      </c>
      <c r="AK326" s="123">
        <v>34</v>
      </c>
      <c r="AL326" s="398"/>
    </row>
    <row r="327" spans="1:38" ht="24.95" customHeight="1">
      <c r="A327" s="26">
        <v>3</v>
      </c>
      <c r="B327" s="310" t="s">
        <v>68</v>
      </c>
      <c r="C327" s="123">
        <f>10-2</f>
        <v>8</v>
      </c>
      <c r="D327" s="123">
        <f>4+2</f>
        <v>6</v>
      </c>
      <c r="E327" s="123">
        <v>10</v>
      </c>
      <c r="F327" s="123">
        <f t="shared" si="158"/>
        <v>24</v>
      </c>
      <c r="G327" s="564">
        <f t="shared" si="159"/>
        <v>0.90599999999999992</v>
      </c>
      <c r="H327" s="123">
        <v>151</v>
      </c>
      <c r="I327" s="123">
        <v>110</v>
      </c>
      <c r="J327" s="124">
        <f t="shared" si="165"/>
        <v>0</v>
      </c>
      <c r="K327" s="380">
        <f t="shared" si="166"/>
        <v>0</v>
      </c>
      <c r="L327" s="380">
        <f t="shared" si="160"/>
        <v>0</v>
      </c>
      <c r="M327" s="380">
        <f t="shared" si="160"/>
        <v>0</v>
      </c>
      <c r="N327" s="273">
        <f t="shared" si="167"/>
        <v>0</v>
      </c>
      <c r="O327" s="26">
        <v>3</v>
      </c>
      <c r="P327" s="340" t="s">
        <v>68</v>
      </c>
      <c r="Q327" s="123">
        <f>10-2</f>
        <v>8</v>
      </c>
      <c r="R327" s="123">
        <f>4+2</f>
        <v>6</v>
      </c>
      <c r="S327" s="123">
        <v>10</v>
      </c>
      <c r="T327" s="123">
        <f t="shared" si="161"/>
        <v>24</v>
      </c>
      <c r="U327" s="328">
        <f t="shared" si="162"/>
        <v>0.90599999999999992</v>
      </c>
      <c r="V327" s="123">
        <v>151</v>
      </c>
      <c r="W327" s="123">
        <v>110</v>
      </c>
      <c r="X327" s="124"/>
      <c r="Y327" s="273">
        <f>Q327-AE327</f>
        <v>0</v>
      </c>
      <c r="Z327" s="273">
        <f>R327-AF327</f>
        <v>0</v>
      </c>
      <c r="AA327" s="273">
        <f>S327-AG327</f>
        <v>0</v>
      </c>
      <c r="AC327" s="26">
        <v>3</v>
      </c>
      <c r="AD327" s="27" t="s">
        <v>68</v>
      </c>
      <c r="AE327" s="123">
        <f>10-2</f>
        <v>8</v>
      </c>
      <c r="AF327" s="123">
        <f>4+2</f>
        <v>6</v>
      </c>
      <c r="AG327" s="123">
        <v>10</v>
      </c>
      <c r="AH327" s="123">
        <f t="shared" si="163"/>
        <v>24</v>
      </c>
      <c r="AI327" s="328">
        <f t="shared" si="164"/>
        <v>0.90599999999999992</v>
      </c>
      <c r="AJ327" s="123">
        <v>151</v>
      </c>
      <c r="AK327" s="123">
        <v>110</v>
      </c>
      <c r="AL327" s="398"/>
    </row>
    <row r="328" spans="1:38" ht="24.95" customHeight="1">
      <c r="A328" s="26">
        <v>4</v>
      </c>
      <c r="B328" s="310" t="s">
        <v>69</v>
      </c>
      <c r="C328" s="123">
        <v>0</v>
      </c>
      <c r="D328" s="123">
        <v>0</v>
      </c>
      <c r="E328" s="123">
        <v>0</v>
      </c>
      <c r="F328" s="123">
        <v>0</v>
      </c>
      <c r="G328" s="564">
        <v>0</v>
      </c>
      <c r="H328" s="123">
        <v>0</v>
      </c>
      <c r="I328" s="123">
        <v>0</v>
      </c>
      <c r="J328" s="124"/>
      <c r="K328" s="380"/>
      <c r="L328" s="380"/>
      <c r="M328" s="380"/>
      <c r="N328" s="273"/>
      <c r="O328" s="26">
        <v>4</v>
      </c>
      <c r="P328" s="27" t="s">
        <v>69</v>
      </c>
      <c r="Q328" s="123">
        <v>0</v>
      </c>
      <c r="R328" s="123">
        <v>0</v>
      </c>
      <c r="S328" s="123">
        <v>0</v>
      </c>
      <c r="T328" s="123">
        <v>0</v>
      </c>
      <c r="U328" s="123">
        <v>0</v>
      </c>
      <c r="V328" s="123">
        <v>0</v>
      </c>
      <c r="W328" s="123">
        <v>0</v>
      </c>
      <c r="X328" s="124"/>
      <c r="AC328" s="26">
        <v>4</v>
      </c>
      <c r="AD328" s="27" t="s">
        <v>69</v>
      </c>
      <c r="AE328" s="123" t="s">
        <v>20</v>
      </c>
      <c r="AF328" s="123" t="s">
        <v>20</v>
      </c>
      <c r="AG328" s="123" t="s">
        <v>20</v>
      </c>
      <c r="AH328" s="123" t="s">
        <v>20</v>
      </c>
      <c r="AI328" s="123" t="s">
        <v>20</v>
      </c>
      <c r="AJ328" s="123" t="s">
        <v>20</v>
      </c>
      <c r="AK328" s="123" t="s">
        <v>20</v>
      </c>
      <c r="AL328" s="398"/>
    </row>
    <row r="329" spans="1:38" ht="24.95" customHeight="1">
      <c r="A329" s="26">
        <v>5</v>
      </c>
      <c r="B329" s="627" t="s">
        <v>70</v>
      </c>
      <c r="C329" s="123">
        <f>1+2</f>
        <v>3</v>
      </c>
      <c r="D329" s="123">
        <v>3</v>
      </c>
      <c r="E329" s="123">
        <f>7</f>
        <v>7</v>
      </c>
      <c r="F329" s="123">
        <f t="shared" ref="F329" si="168">E329+D329+C329</f>
        <v>13</v>
      </c>
      <c r="G329" s="564">
        <f t="shared" ref="G329" si="169">H329/1000*D329</f>
        <v>0.45299999999999996</v>
      </c>
      <c r="H329" s="123">
        <v>151</v>
      </c>
      <c r="I329" s="123">
        <f>34-2</f>
        <v>32</v>
      </c>
      <c r="J329" s="124">
        <f>F329-T329</f>
        <v>0</v>
      </c>
      <c r="K329" s="380">
        <f t="shared" si="166"/>
        <v>0</v>
      </c>
      <c r="L329" s="380">
        <f t="shared" si="160"/>
        <v>0</v>
      </c>
      <c r="M329" s="380">
        <f t="shared" si="160"/>
        <v>0</v>
      </c>
      <c r="N329" s="273">
        <f t="shared" si="167"/>
        <v>0</v>
      </c>
      <c r="O329" s="26">
        <v>5</v>
      </c>
      <c r="P329" s="32" t="s">
        <v>70</v>
      </c>
      <c r="Q329" s="123">
        <f>1+2</f>
        <v>3</v>
      </c>
      <c r="R329" s="123">
        <v>3</v>
      </c>
      <c r="S329" s="123">
        <f>13-4-2</f>
        <v>7</v>
      </c>
      <c r="T329" s="123">
        <f t="shared" ref="T329" si="170">S329+R329+Q329</f>
        <v>13</v>
      </c>
      <c r="U329" s="328">
        <f t="shared" ref="U329" si="171">V329/1000*R329</f>
        <v>0.45299999999999996</v>
      </c>
      <c r="V329" s="123">
        <v>151</v>
      </c>
      <c r="W329" s="123">
        <f>34-2</f>
        <v>32</v>
      </c>
      <c r="X329" s="124"/>
      <c r="AC329" s="26">
        <v>5</v>
      </c>
      <c r="AD329" s="32" t="s">
        <v>70</v>
      </c>
      <c r="AE329" s="123">
        <v>1</v>
      </c>
      <c r="AF329" s="123">
        <v>3</v>
      </c>
      <c r="AG329" s="123">
        <v>13</v>
      </c>
      <c r="AH329" s="123">
        <f t="shared" ref="AH329" si="172">AG329+AF329+AE329</f>
        <v>17</v>
      </c>
      <c r="AI329" s="328">
        <f t="shared" ref="AI329" si="173">AJ329/1000*AF329</f>
        <v>0.45299999999999996</v>
      </c>
      <c r="AJ329" s="123">
        <v>151</v>
      </c>
      <c r="AK329" s="123">
        <v>34</v>
      </c>
      <c r="AL329" s="398"/>
    </row>
    <row r="330" spans="1:38" ht="24.95" customHeight="1">
      <c r="A330" s="26">
        <v>6</v>
      </c>
      <c r="B330" s="27" t="s">
        <v>71</v>
      </c>
      <c r="C330" s="123" t="s">
        <v>20</v>
      </c>
      <c r="D330" s="123" t="s">
        <v>20</v>
      </c>
      <c r="E330" s="123" t="s">
        <v>20</v>
      </c>
      <c r="F330" s="123" t="s">
        <v>20</v>
      </c>
      <c r="G330" s="123" t="s">
        <v>20</v>
      </c>
      <c r="H330" s="123" t="s">
        <v>20</v>
      </c>
      <c r="I330" s="123" t="s">
        <v>20</v>
      </c>
      <c r="J330" s="124"/>
      <c r="K330" s="380"/>
      <c r="O330" s="26">
        <v>6</v>
      </c>
      <c r="P330" s="27" t="s">
        <v>71</v>
      </c>
      <c r="Q330" s="123">
        <v>0</v>
      </c>
      <c r="R330" s="123">
        <v>0</v>
      </c>
      <c r="S330" s="123">
        <v>0</v>
      </c>
      <c r="T330" s="123">
        <v>0</v>
      </c>
      <c r="U330" s="123">
        <v>0</v>
      </c>
      <c r="V330" s="123">
        <v>0</v>
      </c>
      <c r="W330" s="123">
        <v>0</v>
      </c>
      <c r="X330" s="124"/>
      <c r="AC330" s="26">
        <v>6</v>
      </c>
      <c r="AD330" s="27" t="s">
        <v>71</v>
      </c>
      <c r="AE330" s="123" t="s">
        <v>20</v>
      </c>
      <c r="AF330" s="123" t="s">
        <v>20</v>
      </c>
      <c r="AG330" s="123" t="s">
        <v>20</v>
      </c>
      <c r="AH330" s="123" t="s">
        <v>20</v>
      </c>
      <c r="AI330" s="123" t="s">
        <v>20</v>
      </c>
      <c r="AJ330" s="123" t="s">
        <v>20</v>
      </c>
      <c r="AK330" s="123" t="s">
        <v>20</v>
      </c>
      <c r="AL330" s="398"/>
    </row>
    <row r="331" spans="1:38" ht="24.95" customHeight="1">
      <c r="A331" s="26">
        <v>7</v>
      </c>
      <c r="B331" s="27" t="s">
        <v>72</v>
      </c>
      <c r="C331" s="123" t="s">
        <v>20</v>
      </c>
      <c r="D331" s="123" t="s">
        <v>20</v>
      </c>
      <c r="E331" s="123" t="s">
        <v>20</v>
      </c>
      <c r="F331" s="123" t="s">
        <v>20</v>
      </c>
      <c r="G331" s="123" t="s">
        <v>20</v>
      </c>
      <c r="H331" s="123" t="s">
        <v>20</v>
      </c>
      <c r="I331" s="123" t="s">
        <v>20</v>
      </c>
      <c r="J331" s="124"/>
      <c r="K331" s="380"/>
      <c r="O331" s="26">
        <v>7</v>
      </c>
      <c r="P331" s="27" t="s">
        <v>72</v>
      </c>
      <c r="Q331" s="123">
        <v>0</v>
      </c>
      <c r="R331" s="123">
        <v>0</v>
      </c>
      <c r="S331" s="123">
        <v>0</v>
      </c>
      <c r="T331" s="123">
        <v>0</v>
      </c>
      <c r="U331" s="123">
        <v>0</v>
      </c>
      <c r="V331" s="123">
        <v>0</v>
      </c>
      <c r="W331" s="123">
        <v>0</v>
      </c>
      <c r="X331" s="124"/>
      <c r="AC331" s="26">
        <v>7</v>
      </c>
      <c r="AD331" s="27" t="s">
        <v>72</v>
      </c>
      <c r="AE331" s="123" t="s">
        <v>20</v>
      </c>
      <c r="AF331" s="123" t="s">
        <v>20</v>
      </c>
      <c r="AG331" s="123" t="s">
        <v>20</v>
      </c>
      <c r="AH331" s="123" t="s">
        <v>20</v>
      </c>
      <c r="AI331" s="123" t="s">
        <v>20</v>
      </c>
      <c r="AJ331" s="123" t="s">
        <v>20</v>
      </c>
      <c r="AK331" s="123" t="s">
        <v>20</v>
      </c>
      <c r="AL331" s="398"/>
    </row>
    <row r="332" spans="1:38" ht="24.95" customHeight="1">
      <c r="A332" s="26">
        <v>8</v>
      </c>
      <c r="B332" s="27" t="s">
        <v>73</v>
      </c>
      <c r="C332" s="123" t="s">
        <v>20</v>
      </c>
      <c r="D332" s="123" t="s">
        <v>20</v>
      </c>
      <c r="E332" s="123" t="s">
        <v>20</v>
      </c>
      <c r="F332" s="123" t="s">
        <v>20</v>
      </c>
      <c r="G332" s="123" t="s">
        <v>20</v>
      </c>
      <c r="H332" s="123" t="s">
        <v>20</v>
      </c>
      <c r="I332" s="123" t="s">
        <v>20</v>
      </c>
      <c r="J332" s="124"/>
      <c r="K332" s="380"/>
      <c r="O332" s="26">
        <v>8</v>
      </c>
      <c r="P332" s="27" t="s">
        <v>73</v>
      </c>
      <c r="Q332" s="123">
        <v>0</v>
      </c>
      <c r="R332" s="123">
        <v>0</v>
      </c>
      <c r="S332" s="123">
        <v>0</v>
      </c>
      <c r="T332" s="123">
        <v>0</v>
      </c>
      <c r="U332" s="123">
        <v>0</v>
      </c>
      <c r="V332" s="123">
        <v>0</v>
      </c>
      <c r="W332" s="123">
        <v>0</v>
      </c>
      <c r="X332" s="124"/>
      <c r="AC332" s="26">
        <v>8</v>
      </c>
      <c r="AD332" s="27" t="s">
        <v>73</v>
      </c>
      <c r="AE332" s="123" t="s">
        <v>20</v>
      </c>
      <c r="AF332" s="123" t="s">
        <v>20</v>
      </c>
      <c r="AG332" s="123" t="s">
        <v>20</v>
      </c>
      <c r="AH332" s="123" t="s">
        <v>20</v>
      </c>
      <c r="AI332" s="123" t="s">
        <v>20</v>
      </c>
      <c r="AJ332" s="123" t="s">
        <v>20</v>
      </c>
      <c r="AK332" s="123" t="s">
        <v>20</v>
      </c>
      <c r="AL332" s="398"/>
    </row>
    <row r="333" spans="1:38" ht="24.95" customHeight="1">
      <c r="A333" s="26">
        <v>9</v>
      </c>
      <c r="B333" s="27" t="s">
        <v>74</v>
      </c>
      <c r="C333" s="123" t="s">
        <v>20</v>
      </c>
      <c r="D333" s="123" t="s">
        <v>20</v>
      </c>
      <c r="E333" s="123" t="s">
        <v>20</v>
      </c>
      <c r="F333" s="123" t="s">
        <v>20</v>
      </c>
      <c r="G333" s="123" t="s">
        <v>20</v>
      </c>
      <c r="H333" s="123" t="s">
        <v>20</v>
      </c>
      <c r="I333" s="123" t="s">
        <v>20</v>
      </c>
      <c r="J333" s="124"/>
      <c r="K333" s="380"/>
      <c r="O333" s="26">
        <v>9</v>
      </c>
      <c r="P333" s="27" t="s">
        <v>74</v>
      </c>
      <c r="Q333" s="123">
        <v>0</v>
      </c>
      <c r="R333" s="123">
        <v>0</v>
      </c>
      <c r="S333" s="123">
        <v>0</v>
      </c>
      <c r="T333" s="123">
        <v>0</v>
      </c>
      <c r="U333" s="123">
        <v>0</v>
      </c>
      <c r="V333" s="123">
        <v>0</v>
      </c>
      <c r="W333" s="123">
        <v>0</v>
      </c>
      <c r="X333" s="124"/>
      <c r="AC333" s="26">
        <v>9</v>
      </c>
      <c r="AD333" s="27" t="s">
        <v>74</v>
      </c>
      <c r="AE333" s="123" t="s">
        <v>20</v>
      </c>
      <c r="AF333" s="123" t="s">
        <v>20</v>
      </c>
      <c r="AG333" s="123" t="s">
        <v>20</v>
      </c>
      <c r="AH333" s="123" t="s">
        <v>20</v>
      </c>
      <c r="AI333" s="123" t="s">
        <v>20</v>
      </c>
      <c r="AJ333" s="123" t="s">
        <v>20</v>
      </c>
      <c r="AK333" s="123" t="s">
        <v>20</v>
      </c>
      <c r="AL333" s="398"/>
    </row>
    <row r="334" spans="1:38" ht="24.95" customHeight="1">
      <c r="A334" s="26">
        <v>10</v>
      </c>
      <c r="B334" s="27" t="s">
        <v>75</v>
      </c>
      <c r="C334" s="123" t="s">
        <v>20</v>
      </c>
      <c r="D334" s="123" t="s">
        <v>20</v>
      </c>
      <c r="E334" s="123" t="s">
        <v>20</v>
      </c>
      <c r="F334" s="123" t="s">
        <v>20</v>
      </c>
      <c r="G334" s="123" t="s">
        <v>20</v>
      </c>
      <c r="H334" s="123" t="s">
        <v>20</v>
      </c>
      <c r="I334" s="123" t="s">
        <v>20</v>
      </c>
      <c r="J334" s="124"/>
      <c r="K334" s="380"/>
      <c r="O334" s="26">
        <v>10</v>
      </c>
      <c r="P334" s="27" t="s">
        <v>75</v>
      </c>
      <c r="Q334" s="123">
        <v>0</v>
      </c>
      <c r="R334" s="123">
        <v>0</v>
      </c>
      <c r="S334" s="123">
        <v>0</v>
      </c>
      <c r="T334" s="123">
        <v>0</v>
      </c>
      <c r="U334" s="123">
        <v>0</v>
      </c>
      <c r="V334" s="123">
        <v>0</v>
      </c>
      <c r="W334" s="123">
        <v>0</v>
      </c>
      <c r="X334" s="124"/>
      <c r="AC334" s="26">
        <v>10</v>
      </c>
      <c r="AD334" s="27" t="s">
        <v>75</v>
      </c>
      <c r="AE334" s="123" t="s">
        <v>20</v>
      </c>
      <c r="AF334" s="123" t="s">
        <v>20</v>
      </c>
      <c r="AG334" s="123" t="s">
        <v>20</v>
      </c>
      <c r="AH334" s="123" t="s">
        <v>20</v>
      </c>
      <c r="AI334" s="123" t="s">
        <v>20</v>
      </c>
      <c r="AJ334" s="123" t="s">
        <v>20</v>
      </c>
      <c r="AK334" s="123" t="s">
        <v>20</v>
      </c>
      <c r="AL334" s="398"/>
    </row>
    <row r="335" spans="1:38" ht="24.95" customHeight="1">
      <c r="A335" s="26">
        <v>11</v>
      </c>
      <c r="B335" s="35" t="s">
        <v>76</v>
      </c>
      <c r="C335" s="123" t="s">
        <v>20</v>
      </c>
      <c r="D335" s="123" t="s">
        <v>20</v>
      </c>
      <c r="E335" s="123" t="s">
        <v>20</v>
      </c>
      <c r="F335" s="123" t="s">
        <v>20</v>
      </c>
      <c r="G335" s="123" t="s">
        <v>20</v>
      </c>
      <c r="H335" s="123" t="s">
        <v>20</v>
      </c>
      <c r="I335" s="123" t="s">
        <v>20</v>
      </c>
      <c r="J335" s="124"/>
      <c r="K335" s="380"/>
      <c r="O335" s="26">
        <v>11</v>
      </c>
      <c r="P335" s="35" t="s">
        <v>76</v>
      </c>
      <c r="Q335" s="123">
        <v>0</v>
      </c>
      <c r="R335" s="123">
        <v>0</v>
      </c>
      <c r="S335" s="123">
        <v>0</v>
      </c>
      <c r="T335" s="123">
        <v>0</v>
      </c>
      <c r="U335" s="123">
        <v>0</v>
      </c>
      <c r="V335" s="123">
        <v>0</v>
      </c>
      <c r="W335" s="123">
        <v>0</v>
      </c>
      <c r="X335" s="124"/>
      <c r="AC335" s="26">
        <v>11</v>
      </c>
      <c r="AD335" s="35" t="s">
        <v>76</v>
      </c>
      <c r="AE335" s="123" t="s">
        <v>20</v>
      </c>
      <c r="AF335" s="123" t="s">
        <v>20</v>
      </c>
      <c r="AG335" s="123" t="s">
        <v>20</v>
      </c>
      <c r="AH335" s="123" t="s">
        <v>20</v>
      </c>
      <c r="AI335" s="123" t="s">
        <v>20</v>
      </c>
      <c r="AJ335" s="123" t="s">
        <v>20</v>
      </c>
      <c r="AK335" s="123" t="s">
        <v>20</v>
      </c>
      <c r="AL335" s="398"/>
    </row>
    <row r="336" spans="1:38" ht="24.95" customHeight="1">
      <c r="A336" s="664" t="s">
        <v>77</v>
      </c>
      <c r="B336" s="665"/>
      <c r="C336" s="393">
        <f>SUM(C325:C335)</f>
        <v>16</v>
      </c>
      <c r="D336" s="317">
        <f>SUM(D325:D335)</f>
        <v>19</v>
      </c>
      <c r="E336" s="393">
        <f>SUM(E325:E335)</f>
        <v>33.299999999999997</v>
      </c>
      <c r="F336" s="317">
        <f>E336+D336+C336</f>
        <v>68.3</v>
      </c>
      <c r="G336" s="569">
        <f>H336/1000*D336</f>
        <v>2.8689999999999998</v>
      </c>
      <c r="H336" s="317">
        <v>151</v>
      </c>
      <c r="I336" s="411">
        <f>SUM(I325:I335)</f>
        <v>215</v>
      </c>
      <c r="J336" s="383">
        <f>SUM(J325:J329)</f>
        <v>0</v>
      </c>
      <c r="K336" s="380">
        <f>SUM(K325:K329)</f>
        <v>0</v>
      </c>
      <c r="L336" s="380">
        <f t="shared" ref="L336:N336" si="174">SUM(L325:L329)</f>
        <v>0</v>
      </c>
      <c r="M336" s="380">
        <f t="shared" si="174"/>
        <v>0</v>
      </c>
      <c r="N336" s="380">
        <f t="shared" si="174"/>
        <v>0</v>
      </c>
      <c r="O336" s="664" t="s">
        <v>77</v>
      </c>
      <c r="P336" s="665"/>
      <c r="Q336" s="393">
        <f>SUM(Q325:Q335)</f>
        <v>16</v>
      </c>
      <c r="R336" s="317">
        <f>SUM(R325:R335)</f>
        <v>19</v>
      </c>
      <c r="S336" s="393">
        <f>SUM(S325:S335)</f>
        <v>33.299999999999997</v>
      </c>
      <c r="T336" s="317">
        <f>S336+R336+Q336</f>
        <v>68.3</v>
      </c>
      <c r="U336" s="433">
        <f>V336/1000*R336</f>
        <v>2.8689999999999998</v>
      </c>
      <c r="V336" s="317">
        <v>151</v>
      </c>
      <c r="W336" s="411">
        <f>SUM(W325:W335)</f>
        <v>215</v>
      </c>
      <c r="X336" s="383"/>
      <c r="AC336" s="664" t="s">
        <v>77</v>
      </c>
      <c r="AD336" s="665"/>
      <c r="AE336" s="393">
        <f>SUM(AE325:AE335)</f>
        <v>14.6</v>
      </c>
      <c r="AF336" s="317">
        <f>SUM(AF325:AF335)</f>
        <v>21</v>
      </c>
      <c r="AG336" s="393">
        <f>SUM(AG325:AG335)</f>
        <v>40.299999999999997</v>
      </c>
      <c r="AH336" s="317">
        <f>AG336+AF336+AE336</f>
        <v>75.899999999999991</v>
      </c>
      <c r="AI336" s="433">
        <f>AJ336/1000*AF336</f>
        <v>3.1709999999999998</v>
      </c>
      <c r="AJ336" s="317">
        <v>151</v>
      </c>
      <c r="AK336" s="411">
        <f>SUM(AK325:AK335)</f>
        <v>219</v>
      </c>
      <c r="AL336" s="432"/>
    </row>
    <row r="337" spans="2:38" ht="24.95" customHeight="1">
      <c r="C337" s="276">
        <f>C336-Q336</f>
        <v>0</v>
      </c>
      <c r="D337" s="276">
        <f t="shared" ref="D337:I337" si="175">D336-R336</f>
        <v>0</v>
      </c>
      <c r="E337" s="276">
        <f t="shared" si="175"/>
        <v>0</v>
      </c>
      <c r="F337" s="276">
        <f t="shared" si="175"/>
        <v>0</v>
      </c>
      <c r="G337" s="276">
        <f t="shared" si="175"/>
        <v>0</v>
      </c>
      <c r="H337" s="276">
        <f t="shared" si="175"/>
        <v>0</v>
      </c>
      <c r="I337" s="276">
        <f t="shared" si="175"/>
        <v>0</v>
      </c>
      <c r="L337">
        <v>1.208</v>
      </c>
      <c r="Q337" s="276">
        <f>Q336-AE336</f>
        <v>1.4000000000000004</v>
      </c>
      <c r="R337" s="287">
        <f t="shared" ref="R337:W337" si="176">R336-AF336</f>
        <v>-2</v>
      </c>
      <c r="S337" s="276">
        <f t="shared" si="176"/>
        <v>-7</v>
      </c>
      <c r="T337" s="287">
        <f t="shared" si="176"/>
        <v>-7.5999999999999943</v>
      </c>
      <c r="U337" s="287">
        <f t="shared" si="176"/>
        <v>-0.30200000000000005</v>
      </c>
      <c r="V337" s="276">
        <f t="shared" si="176"/>
        <v>0</v>
      </c>
      <c r="W337" s="276">
        <f t="shared" si="176"/>
        <v>-4</v>
      </c>
    </row>
    <row r="338" spans="2:38" ht="24.95" customHeight="1">
      <c r="B338" s="6" t="s">
        <v>12</v>
      </c>
      <c r="C338" s="320" t="s">
        <v>33</v>
      </c>
      <c r="F338" s="118"/>
      <c r="G338" s="1"/>
      <c r="L338">
        <v>0.30199999999999999</v>
      </c>
      <c r="P338" s="6" t="s">
        <v>12</v>
      </c>
      <c r="Q338" s="320" t="s">
        <v>33</v>
      </c>
      <c r="T338" s="118"/>
      <c r="U338" s="1"/>
      <c r="AD338" s="385"/>
      <c r="AE338" s="435"/>
      <c r="AF338" s="118"/>
      <c r="AG338" s="435"/>
      <c r="AH338" s="118"/>
      <c r="AI338" s="1" t="s">
        <v>104</v>
      </c>
    </row>
    <row r="339" spans="2:38" ht="24.95" customHeight="1">
      <c r="B339" s="6" t="s">
        <v>13</v>
      </c>
      <c r="C339" s="320" t="s">
        <v>34</v>
      </c>
      <c r="G339" s="650"/>
      <c r="H339" s="637"/>
      <c r="I339" s="637"/>
      <c r="J339" s="637"/>
      <c r="K339" s="48"/>
      <c r="L339">
        <v>0.90600000000000003</v>
      </c>
      <c r="P339" s="6" t="s">
        <v>13</v>
      </c>
      <c r="Q339" s="320" t="s">
        <v>34</v>
      </c>
      <c r="U339" s="650"/>
      <c r="V339" s="637"/>
      <c r="W339" s="637"/>
      <c r="X339" s="637"/>
      <c r="AI339" s="266" t="s">
        <v>105</v>
      </c>
      <c r="AJ339" s="323"/>
      <c r="AK339" s="323"/>
      <c r="AL339" s="323"/>
    </row>
    <row r="340" spans="2:38" ht="24.95" customHeight="1">
      <c r="B340" s="6" t="s">
        <v>14</v>
      </c>
      <c r="C340" s="320" t="s">
        <v>35</v>
      </c>
      <c r="G340" s="1"/>
      <c r="H340" s="292"/>
      <c r="L340">
        <v>0</v>
      </c>
      <c r="P340" s="6" t="s">
        <v>14</v>
      </c>
      <c r="Q340" s="320" t="s">
        <v>35</v>
      </c>
      <c r="U340" s="1"/>
      <c r="V340" s="292"/>
      <c r="AI340" s="1" t="s">
        <v>106</v>
      </c>
    </row>
    <row r="341" spans="2:38" ht="24.95" customHeight="1">
      <c r="B341" s="2"/>
      <c r="C341" s="2"/>
      <c r="G341" s="650"/>
      <c r="H341" s="650"/>
      <c r="I341" s="650"/>
      <c r="J341" s="650"/>
      <c r="K341" s="47"/>
      <c r="L341">
        <v>0.45300000000000001</v>
      </c>
      <c r="P341" s="2"/>
      <c r="Q341" s="2"/>
      <c r="U341" s="650"/>
      <c r="V341" s="650"/>
      <c r="W341" s="650"/>
      <c r="X341" s="650"/>
      <c r="AI341" s="650"/>
      <c r="AJ341" s="650"/>
      <c r="AK341" s="650"/>
      <c r="AL341" s="650"/>
    </row>
    <row r="342" spans="2:38" ht="24.95" customHeight="1">
      <c r="D342">
        <v>19</v>
      </c>
      <c r="G342" s="48">
        <v>2.87</v>
      </c>
      <c r="H342" s="48">
        <f>G342/D342*1000</f>
        <v>151.05263157894737</v>
      </c>
      <c r="I342" s="48"/>
      <c r="J342" s="48"/>
      <c r="K342" s="48"/>
      <c r="R342">
        <v>19</v>
      </c>
      <c r="U342" s="48">
        <v>2.87</v>
      </c>
      <c r="V342" s="48">
        <f>U342/R342*1000</f>
        <v>151.05263157894737</v>
      </c>
      <c r="W342" s="48"/>
      <c r="X342" s="48"/>
      <c r="AI342" s="48"/>
      <c r="AJ342" s="48"/>
      <c r="AK342" s="48"/>
      <c r="AL342" s="48"/>
    </row>
    <row r="343" spans="2:38" ht="24.95" customHeight="1">
      <c r="G343" s="637"/>
      <c r="H343" s="637"/>
      <c r="I343" s="637"/>
      <c r="J343" s="637"/>
      <c r="K343" s="48"/>
      <c r="U343" s="637"/>
      <c r="V343" s="637"/>
      <c r="W343" s="637"/>
      <c r="X343" s="637"/>
      <c r="AI343" s="637"/>
      <c r="AJ343" s="637"/>
      <c r="AK343" s="637"/>
      <c r="AL343" s="637"/>
    </row>
    <row r="344" spans="2:38" ht="24.95" customHeight="1">
      <c r="G344" s="637"/>
      <c r="H344" s="637"/>
      <c r="I344" s="637"/>
      <c r="J344" s="637"/>
      <c r="K344" s="48"/>
      <c r="U344" s="637"/>
      <c r="V344" s="637"/>
      <c r="W344" s="637"/>
      <c r="X344" s="637"/>
      <c r="AI344" s="637"/>
      <c r="AJ344" s="637"/>
      <c r="AK344" s="637"/>
      <c r="AL344" s="637"/>
    </row>
    <row r="345" spans="2:38" ht="24.95" customHeight="1"/>
    <row r="346" spans="2:38" ht="15" customHeight="1"/>
    <row r="347" spans="2:38" ht="15" customHeight="1">
      <c r="G347" s="653"/>
      <c r="H347" s="653"/>
      <c r="I347" s="653"/>
      <c r="J347" s="653"/>
      <c r="K347" s="46"/>
      <c r="U347" s="653"/>
      <c r="V347" s="653"/>
      <c r="W347" s="653"/>
      <c r="X347" s="653"/>
      <c r="AI347" s="653"/>
      <c r="AJ347" s="653"/>
      <c r="AK347" s="653"/>
      <c r="AL347" s="653"/>
    </row>
    <row r="348" spans="2:38" ht="15" customHeight="1">
      <c r="G348" s="637"/>
      <c r="H348" s="637"/>
      <c r="I348" s="637"/>
      <c r="J348" s="637"/>
      <c r="K348" s="48"/>
      <c r="U348" s="637"/>
      <c r="V348" s="637"/>
      <c r="W348" s="637"/>
      <c r="X348" s="637"/>
      <c r="AI348" s="637"/>
      <c r="AJ348" s="637"/>
      <c r="AK348" s="637"/>
      <c r="AL348" s="637"/>
    </row>
    <row r="349" spans="2:38">
      <c r="G349" s="637"/>
      <c r="H349" s="637"/>
      <c r="I349" s="637"/>
      <c r="J349" s="637"/>
      <c r="K349" s="48"/>
      <c r="U349" s="637"/>
      <c r="V349" s="637"/>
      <c r="W349" s="637"/>
      <c r="X349" s="637"/>
      <c r="AI349" s="637"/>
      <c r="AJ349" s="637"/>
      <c r="AK349" s="637"/>
      <c r="AL349" s="637"/>
    </row>
    <row r="350" spans="2:38">
      <c r="G350" s="48"/>
      <c r="H350" s="48"/>
      <c r="I350" s="48"/>
      <c r="J350" s="48"/>
      <c r="K350" s="48"/>
      <c r="U350" s="48"/>
      <c r="V350" s="48"/>
      <c r="W350" s="48"/>
      <c r="X350" s="48"/>
      <c r="AI350" s="48"/>
      <c r="AJ350" s="48"/>
      <c r="AK350" s="48"/>
      <c r="AL350" s="48"/>
    </row>
    <row r="351" spans="2:38">
      <c r="G351" s="48"/>
      <c r="H351" s="48"/>
      <c r="I351" s="48"/>
      <c r="J351" s="48"/>
      <c r="K351" s="48"/>
      <c r="U351" s="48"/>
      <c r="V351" s="48"/>
      <c r="W351" s="48"/>
      <c r="X351" s="48"/>
      <c r="AI351" s="48"/>
      <c r="AJ351" s="48"/>
      <c r="AK351" s="48"/>
      <c r="AL351" s="48"/>
    </row>
    <row r="352" spans="2:38">
      <c r="G352" s="48"/>
      <c r="H352" s="48"/>
      <c r="I352" s="48"/>
      <c r="J352" s="48"/>
      <c r="K352" s="48"/>
      <c r="U352" s="48"/>
      <c r="V352" s="48"/>
      <c r="W352" s="48"/>
      <c r="X352" s="48"/>
      <c r="AI352" s="48"/>
      <c r="AJ352" s="48"/>
      <c r="AK352" s="48"/>
      <c r="AL352" s="48"/>
    </row>
    <row r="353" spans="1:38">
      <c r="G353" s="48"/>
      <c r="H353" s="48"/>
      <c r="I353" s="48"/>
      <c r="J353" s="48"/>
      <c r="K353" s="48"/>
      <c r="U353" s="48"/>
      <c r="V353" s="48"/>
      <c r="W353" s="48"/>
      <c r="X353" s="48"/>
      <c r="AI353" s="48"/>
      <c r="AJ353" s="48"/>
      <c r="AK353" s="48"/>
      <c r="AL353" s="48"/>
    </row>
    <row r="354" spans="1:38">
      <c r="G354" s="48"/>
      <c r="H354" s="48"/>
      <c r="I354" s="48"/>
      <c r="J354" s="48"/>
      <c r="K354" s="48"/>
      <c r="U354" s="48"/>
      <c r="V354" s="48"/>
      <c r="W354" s="48"/>
      <c r="X354" s="48"/>
      <c r="AI354" s="48"/>
      <c r="AJ354" s="48"/>
      <c r="AK354" s="48"/>
      <c r="AL354" s="48"/>
    </row>
    <row r="355" spans="1:38">
      <c r="G355" s="48"/>
      <c r="H355" s="48"/>
      <c r="I355" s="48"/>
      <c r="J355" s="48"/>
      <c r="K355" s="48"/>
      <c r="U355" s="48"/>
      <c r="V355" s="48"/>
      <c r="W355" s="48"/>
      <c r="X355" s="48"/>
      <c r="AI355" s="48"/>
      <c r="AJ355" s="48"/>
      <c r="AK355" s="48"/>
      <c r="AL355" s="48"/>
    </row>
    <row r="356" spans="1:38">
      <c r="G356" s="48"/>
      <c r="H356" s="48"/>
      <c r="I356" s="48"/>
      <c r="J356" s="48"/>
      <c r="K356" s="48"/>
      <c r="U356" s="48"/>
      <c r="V356" s="48"/>
      <c r="W356" s="48"/>
      <c r="X356" s="48"/>
      <c r="AI356" s="48"/>
      <c r="AJ356" s="48"/>
      <c r="AK356" s="48"/>
      <c r="AL356" s="48"/>
    </row>
    <row r="357" spans="1:38">
      <c r="G357" s="48"/>
      <c r="H357" s="48"/>
      <c r="I357" s="48"/>
      <c r="J357" s="48"/>
      <c r="K357" s="48"/>
      <c r="U357" s="48"/>
      <c r="V357" s="48"/>
      <c r="W357" s="48"/>
      <c r="X357" s="48"/>
      <c r="AI357" s="48"/>
      <c r="AJ357" s="48"/>
      <c r="AK357" s="48"/>
      <c r="AL357" s="48"/>
    </row>
    <row r="358" spans="1:38">
      <c r="G358" s="48"/>
      <c r="H358" s="48"/>
      <c r="I358" s="48"/>
      <c r="J358" s="48"/>
      <c r="K358" s="48"/>
      <c r="U358" s="48"/>
      <c r="V358" s="48"/>
      <c r="W358" s="48"/>
      <c r="X358" s="48"/>
      <c r="AI358" s="48"/>
      <c r="AJ358" s="48"/>
      <c r="AK358" s="48"/>
      <c r="AL358" s="48"/>
    </row>
    <row r="359" spans="1:38">
      <c r="G359" s="48"/>
      <c r="H359" s="48"/>
      <c r="I359" s="48"/>
      <c r="J359" s="48"/>
      <c r="K359" s="48"/>
      <c r="U359" s="48"/>
      <c r="V359" s="48"/>
      <c r="W359" s="48"/>
      <c r="X359" s="48"/>
      <c r="AI359" s="48"/>
      <c r="AJ359" s="48"/>
      <c r="AK359" s="48"/>
      <c r="AL359" s="48"/>
    </row>
    <row r="360" spans="1:38">
      <c r="G360" s="48"/>
      <c r="H360" s="48"/>
      <c r="I360" s="48"/>
      <c r="J360" s="48"/>
      <c r="K360" s="48"/>
      <c r="U360" s="48"/>
      <c r="V360" s="48"/>
      <c r="W360" s="48"/>
      <c r="X360" s="48"/>
      <c r="AI360" s="48"/>
      <c r="AJ360" s="48"/>
      <c r="AK360" s="48"/>
      <c r="AL360" s="48"/>
    </row>
    <row r="361" spans="1:38" ht="24.95" customHeight="1">
      <c r="G361" s="48"/>
      <c r="H361" s="48"/>
      <c r="I361" s="48"/>
      <c r="J361" s="48"/>
      <c r="K361" s="48"/>
      <c r="U361" s="48"/>
      <c r="V361" s="48"/>
      <c r="W361" s="48"/>
      <c r="X361" s="48"/>
      <c r="AI361" s="48"/>
      <c r="AJ361" s="48"/>
      <c r="AK361" s="48"/>
      <c r="AL361" s="48"/>
    </row>
    <row r="362" spans="1:38" ht="24.95" customHeight="1">
      <c r="A362" s="632" t="s">
        <v>59</v>
      </c>
      <c r="B362" s="632"/>
      <c r="C362" s="632"/>
      <c r="D362" s="632"/>
      <c r="E362" s="632"/>
      <c r="F362" s="632"/>
      <c r="G362" s="632"/>
      <c r="H362" s="632"/>
      <c r="I362" s="632"/>
      <c r="J362" s="632"/>
      <c r="K362" s="296"/>
      <c r="O362" s="632" t="s">
        <v>59</v>
      </c>
      <c r="P362" s="632"/>
      <c r="Q362" s="632"/>
      <c r="R362" s="632"/>
      <c r="S362" s="632"/>
      <c r="T362" s="632"/>
      <c r="U362" s="632"/>
      <c r="V362" s="632"/>
      <c r="W362" s="632"/>
      <c r="X362" s="632"/>
      <c r="AC362" s="663" t="s">
        <v>59</v>
      </c>
      <c r="AD362" s="663"/>
      <c r="AE362" s="663"/>
      <c r="AF362" s="663"/>
      <c r="AG362" s="663"/>
      <c r="AH362" s="663"/>
      <c r="AI362" s="663"/>
      <c r="AJ362" s="663"/>
      <c r="AK362" s="663"/>
      <c r="AL362" s="663"/>
    </row>
    <row r="363" spans="1:38" ht="24.95" customHeight="1">
      <c r="A363" s="632" t="s">
        <v>1</v>
      </c>
      <c r="B363" s="632"/>
      <c r="C363" s="632"/>
      <c r="D363" s="632"/>
      <c r="E363" s="632"/>
      <c r="F363" s="632"/>
      <c r="G363" s="632"/>
      <c r="H363" s="632"/>
      <c r="I363" s="632"/>
      <c r="J363" s="632"/>
      <c r="K363" s="296"/>
      <c r="O363" s="632" t="s">
        <v>1</v>
      </c>
      <c r="P363" s="632"/>
      <c r="Q363" s="632"/>
      <c r="R363" s="632"/>
      <c r="S363" s="632"/>
      <c r="T363" s="632"/>
      <c r="U363" s="632"/>
      <c r="V363" s="632"/>
      <c r="W363" s="632"/>
      <c r="X363" s="632"/>
      <c r="AC363" s="663" t="s">
        <v>1</v>
      </c>
      <c r="AD363" s="663"/>
      <c r="AE363" s="663"/>
      <c r="AF363" s="663"/>
      <c r="AG363" s="663"/>
      <c r="AH363" s="663"/>
      <c r="AI363" s="663"/>
      <c r="AJ363" s="663"/>
      <c r="AK363" s="663"/>
      <c r="AL363" s="663"/>
    </row>
    <row r="364" spans="1:38" ht="24.95" customHeight="1">
      <c r="A364" s="632" t="s">
        <v>206</v>
      </c>
      <c r="B364" s="632"/>
      <c r="C364" s="632"/>
      <c r="D364" s="632"/>
      <c r="E364" s="632"/>
      <c r="F364" s="632"/>
      <c r="G364" s="632"/>
      <c r="H364" s="632"/>
      <c r="I364" s="632"/>
      <c r="J364" s="632"/>
      <c r="K364" s="623"/>
      <c r="O364" s="632" t="s">
        <v>60</v>
      </c>
      <c r="P364" s="632"/>
      <c r="Q364" s="632"/>
      <c r="R364" s="632"/>
      <c r="S364" s="632"/>
      <c r="T364" s="632"/>
      <c r="U364" s="632"/>
      <c r="V364" s="632"/>
      <c r="W364" s="632"/>
      <c r="X364" s="632"/>
      <c r="AC364" s="663" t="s">
        <v>107</v>
      </c>
      <c r="AD364" s="663"/>
      <c r="AE364" s="663"/>
      <c r="AF364" s="663"/>
      <c r="AG364" s="663"/>
      <c r="AH364" s="663"/>
      <c r="AI364" s="663"/>
      <c r="AJ364" s="663"/>
      <c r="AK364" s="663"/>
      <c r="AL364" s="663"/>
    </row>
    <row r="365" spans="1:38" ht="24.95" customHeight="1"/>
    <row r="366" spans="1:38" ht="24.95" customHeight="1">
      <c r="A366" t="s">
        <v>61</v>
      </c>
      <c r="C366" t="s">
        <v>90</v>
      </c>
      <c r="O366" t="s">
        <v>61</v>
      </c>
      <c r="Q366" t="s">
        <v>90</v>
      </c>
      <c r="AC366" t="s">
        <v>61</v>
      </c>
      <c r="AE366" t="s">
        <v>90</v>
      </c>
    </row>
    <row r="367" spans="1:38" ht="24.95" customHeight="1"/>
    <row r="368" spans="1:38" ht="24.95" customHeight="1">
      <c r="A368" s="297" t="s">
        <v>4</v>
      </c>
      <c r="B368" s="298" t="s">
        <v>63</v>
      </c>
      <c r="C368" s="298" t="s">
        <v>12</v>
      </c>
      <c r="D368" s="298" t="s">
        <v>13</v>
      </c>
      <c r="E368" s="298" t="s">
        <v>14</v>
      </c>
      <c r="F368" s="299" t="s">
        <v>91</v>
      </c>
      <c r="G368" s="299" t="s">
        <v>8</v>
      </c>
      <c r="H368" s="299" t="s">
        <v>9</v>
      </c>
      <c r="I368" s="299" t="s">
        <v>10</v>
      </c>
      <c r="J368" s="330" t="s">
        <v>11</v>
      </c>
      <c r="K368" s="612" t="s">
        <v>102</v>
      </c>
      <c r="O368" s="297" t="s">
        <v>4</v>
      </c>
      <c r="P368" s="298" t="s">
        <v>63</v>
      </c>
      <c r="Q368" s="298" t="s">
        <v>12</v>
      </c>
      <c r="R368" s="298" t="s">
        <v>13</v>
      </c>
      <c r="S368" s="298" t="s">
        <v>14</v>
      </c>
      <c r="T368" s="299" t="s">
        <v>91</v>
      </c>
      <c r="U368" s="299" t="s">
        <v>8</v>
      </c>
      <c r="V368" s="299" t="s">
        <v>9</v>
      </c>
      <c r="W368" s="299" t="s">
        <v>10</v>
      </c>
      <c r="X368" s="330" t="s">
        <v>11</v>
      </c>
      <c r="Z368" s="357" t="s">
        <v>103</v>
      </c>
      <c r="AC368" s="297" t="s">
        <v>4</v>
      </c>
      <c r="AD368" s="298" t="s">
        <v>63</v>
      </c>
      <c r="AE368" s="298" t="s">
        <v>12</v>
      </c>
      <c r="AF368" s="298" t="s">
        <v>13</v>
      </c>
      <c r="AG368" s="298" t="s">
        <v>14</v>
      </c>
      <c r="AH368" s="299" t="s">
        <v>91</v>
      </c>
      <c r="AI368" s="299" t="s">
        <v>8</v>
      </c>
      <c r="AJ368" s="299" t="s">
        <v>9</v>
      </c>
      <c r="AK368" s="299" t="s">
        <v>10</v>
      </c>
      <c r="AL368" s="330" t="s">
        <v>11</v>
      </c>
    </row>
    <row r="369" spans="1:38" ht="24.95" customHeight="1">
      <c r="A369" s="300">
        <v>1</v>
      </c>
      <c r="B369" s="301">
        <v>2</v>
      </c>
      <c r="C369" s="301">
        <v>3</v>
      </c>
      <c r="D369" s="301">
        <v>4</v>
      </c>
      <c r="E369" s="301">
        <v>5</v>
      </c>
      <c r="F369" s="301">
        <v>6</v>
      </c>
      <c r="G369" s="301">
        <v>7</v>
      </c>
      <c r="H369" s="301">
        <v>8</v>
      </c>
      <c r="I369" s="301">
        <v>9</v>
      </c>
      <c r="J369" s="333">
        <v>10</v>
      </c>
      <c r="K369" s="334" t="s">
        <v>12</v>
      </c>
      <c r="L369" s="1" t="s">
        <v>13</v>
      </c>
      <c r="M369" s="1" t="s">
        <v>14</v>
      </c>
      <c r="N369" s="1" t="s">
        <v>65</v>
      </c>
      <c r="O369" s="300">
        <v>1</v>
      </c>
      <c r="P369" s="301">
        <v>2</v>
      </c>
      <c r="Q369" s="301">
        <v>3</v>
      </c>
      <c r="R369" s="301">
        <v>4</v>
      </c>
      <c r="S369" s="301">
        <v>5</v>
      </c>
      <c r="T369" s="301">
        <v>6</v>
      </c>
      <c r="U369" s="301">
        <v>7</v>
      </c>
      <c r="V369" s="301">
        <v>8</v>
      </c>
      <c r="W369" s="301">
        <v>9</v>
      </c>
      <c r="X369" s="333">
        <v>10</v>
      </c>
      <c r="AC369" s="300">
        <v>1</v>
      </c>
      <c r="AD369" s="301">
        <v>2</v>
      </c>
      <c r="AE369" s="301">
        <v>3</v>
      </c>
      <c r="AF369" s="301">
        <v>4</v>
      </c>
      <c r="AG369" s="301">
        <v>5</v>
      </c>
      <c r="AH369" s="301">
        <v>6</v>
      </c>
      <c r="AI369" s="301">
        <v>7</v>
      </c>
      <c r="AJ369" s="301">
        <v>8</v>
      </c>
      <c r="AK369" s="301">
        <v>9</v>
      </c>
      <c r="AL369" s="333">
        <v>10</v>
      </c>
    </row>
    <row r="370" spans="1:38" ht="24.95" customHeight="1">
      <c r="A370" s="16">
        <v>1</v>
      </c>
      <c r="B370" s="614" t="s">
        <v>82</v>
      </c>
      <c r="C370" s="302">
        <v>0</v>
      </c>
      <c r="D370" s="302">
        <v>0</v>
      </c>
      <c r="E370" s="302">
        <f>36-7</f>
        <v>29</v>
      </c>
      <c r="F370" s="302">
        <f>E370</f>
        <v>29</v>
      </c>
      <c r="G370" s="302" t="s">
        <v>20</v>
      </c>
      <c r="H370" s="302">
        <v>514</v>
      </c>
      <c r="I370" s="302">
        <f>82-3</f>
        <v>79</v>
      </c>
      <c r="J370" s="431">
        <f>F370-T370</f>
        <v>-7</v>
      </c>
      <c r="K370" s="380">
        <f>C370-Q370</f>
        <v>0</v>
      </c>
      <c r="L370" s="273">
        <f>D370-R370</f>
        <v>0</v>
      </c>
      <c r="M370" s="273">
        <f>E370-S370</f>
        <v>-7</v>
      </c>
      <c r="N370" s="273">
        <f>I370-W370</f>
        <v>-3</v>
      </c>
      <c r="O370" s="16">
        <v>1</v>
      </c>
      <c r="P370" s="338" t="s">
        <v>82</v>
      </c>
      <c r="Q370" s="302">
        <v>0</v>
      </c>
      <c r="R370" s="123">
        <v>0</v>
      </c>
      <c r="S370" s="302">
        <f>41-5</f>
        <v>36</v>
      </c>
      <c r="T370" s="302">
        <f>S370</f>
        <v>36</v>
      </c>
      <c r="U370" s="123">
        <v>0</v>
      </c>
      <c r="V370" s="302">
        <v>514</v>
      </c>
      <c r="W370" s="302">
        <f>83-1</f>
        <v>82</v>
      </c>
      <c r="X370" s="431"/>
      <c r="AC370" s="16">
        <v>1</v>
      </c>
      <c r="AD370" s="17" t="s">
        <v>82</v>
      </c>
      <c r="AE370" s="302">
        <v>0</v>
      </c>
      <c r="AF370" s="302">
        <v>0</v>
      </c>
      <c r="AG370" s="302">
        <v>43</v>
      </c>
      <c r="AH370" s="302">
        <f>AG370</f>
        <v>43</v>
      </c>
      <c r="AI370" s="302" t="s">
        <v>20</v>
      </c>
      <c r="AJ370" s="302">
        <v>514</v>
      </c>
      <c r="AK370" s="302">
        <v>83</v>
      </c>
      <c r="AL370" s="336"/>
    </row>
    <row r="371" spans="1:38" ht="24.95" customHeight="1">
      <c r="A371" s="22">
        <v>2</v>
      </c>
      <c r="B371" s="23" t="s">
        <v>67</v>
      </c>
      <c r="C371" s="123">
        <v>0</v>
      </c>
      <c r="D371" s="123">
        <v>0</v>
      </c>
      <c r="E371" s="123">
        <v>0</v>
      </c>
      <c r="F371" s="123">
        <v>0</v>
      </c>
      <c r="G371" s="123">
        <v>0</v>
      </c>
      <c r="H371" s="123">
        <v>0</v>
      </c>
      <c r="I371" s="123">
        <v>0</v>
      </c>
      <c r="J371" s="124"/>
      <c r="K371" s="380"/>
      <c r="O371" s="22">
        <v>2</v>
      </c>
      <c r="P371" s="23" t="s">
        <v>67</v>
      </c>
      <c r="Q371" s="123">
        <v>0</v>
      </c>
      <c r="R371" s="123">
        <v>0</v>
      </c>
      <c r="S371" s="123">
        <v>0</v>
      </c>
      <c r="T371" s="123">
        <v>0</v>
      </c>
      <c r="U371" s="123">
        <v>0</v>
      </c>
      <c r="V371" s="123">
        <v>0</v>
      </c>
      <c r="W371" s="123">
        <v>0</v>
      </c>
      <c r="X371" s="124"/>
      <c r="AC371" s="22">
        <v>2</v>
      </c>
      <c r="AD371" s="23" t="s">
        <v>67</v>
      </c>
      <c r="AE371" s="123">
        <v>0</v>
      </c>
      <c r="AF371" s="123">
        <v>0</v>
      </c>
      <c r="AG371" s="123">
        <v>0</v>
      </c>
      <c r="AH371" s="123">
        <v>0</v>
      </c>
      <c r="AI371" s="123">
        <v>0</v>
      </c>
      <c r="AJ371" s="123">
        <v>0</v>
      </c>
      <c r="AK371" s="123">
        <v>0</v>
      </c>
      <c r="AL371" s="398"/>
    </row>
    <row r="372" spans="1:38" ht="24.95" customHeight="1">
      <c r="A372" s="26">
        <v>3</v>
      </c>
      <c r="B372" s="27" t="s">
        <v>68</v>
      </c>
      <c r="C372" s="123" t="s">
        <v>20</v>
      </c>
      <c r="D372" s="123">
        <v>10</v>
      </c>
      <c r="E372" s="123">
        <v>2</v>
      </c>
      <c r="F372" s="123">
        <f>E372+D372</f>
        <v>12</v>
      </c>
      <c r="G372" s="421">
        <f>H372/1000*D372</f>
        <v>5.1400000000000006</v>
      </c>
      <c r="H372" s="123">
        <v>514</v>
      </c>
      <c r="I372" s="123">
        <v>25</v>
      </c>
      <c r="J372" s="124"/>
      <c r="K372" s="380"/>
      <c r="O372" s="26">
        <v>3</v>
      </c>
      <c r="P372" s="27" t="s">
        <v>68</v>
      </c>
      <c r="Q372" s="123">
        <v>0</v>
      </c>
      <c r="R372" s="123">
        <v>10</v>
      </c>
      <c r="S372" s="123">
        <v>2</v>
      </c>
      <c r="T372" s="123">
        <f>S372+R372</f>
        <v>12</v>
      </c>
      <c r="U372" s="421">
        <f>V372/1000*R372</f>
        <v>5.1400000000000006</v>
      </c>
      <c r="V372" s="123">
        <v>514</v>
      </c>
      <c r="W372" s="123">
        <v>25</v>
      </c>
      <c r="X372" s="124"/>
      <c r="AC372" s="26">
        <v>3</v>
      </c>
      <c r="AD372" s="27" t="s">
        <v>68</v>
      </c>
      <c r="AE372" s="123" t="s">
        <v>20</v>
      </c>
      <c r="AF372" s="123">
        <v>10</v>
      </c>
      <c r="AG372" s="123">
        <v>2</v>
      </c>
      <c r="AH372" s="123">
        <f>AG372+AF372</f>
        <v>12</v>
      </c>
      <c r="AI372" s="421">
        <f>AJ372/1000*AF372</f>
        <v>5.1400000000000006</v>
      </c>
      <c r="AJ372" s="123">
        <v>514</v>
      </c>
      <c r="AK372" s="123">
        <v>25</v>
      </c>
      <c r="AL372" s="398"/>
    </row>
    <row r="373" spans="1:38" ht="24.95" customHeight="1">
      <c r="A373" s="26">
        <v>4</v>
      </c>
      <c r="B373" s="27" t="s">
        <v>69</v>
      </c>
      <c r="C373" s="123">
        <v>0</v>
      </c>
      <c r="D373" s="123">
        <v>0</v>
      </c>
      <c r="E373" s="123">
        <v>0</v>
      </c>
      <c r="F373" s="123">
        <v>0</v>
      </c>
      <c r="G373" s="123">
        <v>0</v>
      </c>
      <c r="H373" s="123">
        <v>0</v>
      </c>
      <c r="I373" s="123">
        <v>0</v>
      </c>
      <c r="J373" s="124"/>
      <c r="K373" s="380"/>
      <c r="O373" s="26">
        <v>4</v>
      </c>
      <c r="P373" s="27" t="s">
        <v>69</v>
      </c>
      <c r="Q373" s="123">
        <v>0</v>
      </c>
      <c r="R373" s="123">
        <v>0</v>
      </c>
      <c r="S373" s="123">
        <v>0</v>
      </c>
      <c r="T373" s="123">
        <v>0</v>
      </c>
      <c r="U373" s="123">
        <v>0</v>
      </c>
      <c r="V373" s="123">
        <v>0</v>
      </c>
      <c r="W373" s="123">
        <v>0</v>
      </c>
      <c r="X373" s="124"/>
      <c r="AC373" s="26">
        <v>4</v>
      </c>
      <c r="AD373" s="27" t="s">
        <v>69</v>
      </c>
      <c r="AE373" s="123">
        <v>0</v>
      </c>
      <c r="AF373" s="123">
        <v>0</v>
      </c>
      <c r="AG373" s="123">
        <v>0</v>
      </c>
      <c r="AH373" s="123">
        <v>0</v>
      </c>
      <c r="AI373" s="123">
        <v>0</v>
      </c>
      <c r="AJ373" s="123">
        <v>0</v>
      </c>
      <c r="AK373" s="123">
        <v>0</v>
      </c>
      <c r="AL373" s="398"/>
    </row>
    <row r="374" spans="1:38" ht="24.95" customHeight="1">
      <c r="A374" s="26">
        <v>5</v>
      </c>
      <c r="B374" s="609" t="s">
        <v>70</v>
      </c>
      <c r="C374" s="123">
        <v>0</v>
      </c>
      <c r="D374" s="123">
        <v>0</v>
      </c>
      <c r="E374" s="123">
        <f>22-2</f>
        <v>20</v>
      </c>
      <c r="F374" s="123">
        <f>E374</f>
        <v>20</v>
      </c>
      <c r="G374" s="123">
        <v>0</v>
      </c>
      <c r="H374" s="123">
        <v>514</v>
      </c>
      <c r="I374" s="123">
        <f>49-2</f>
        <v>47</v>
      </c>
      <c r="J374" s="124">
        <f>E374-T374</f>
        <v>-5</v>
      </c>
      <c r="K374" s="380">
        <f>Q374-C374</f>
        <v>0</v>
      </c>
      <c r="L374" s="380">
        <f t="shared" ref="L374" si="177">R374-D374</f>
        <v>0</v>
      </c>
      <c r="M374" s="380">
        <f>E374-S374</f>
        <v>-5</v>
      </c>
      <c r="N374" s="273">
        <f>I374-W374</f>
        <v>-2</v>
      </c>
      <c r="O374" s="26">
        <v>5</v>
      </c>
      <c r="P374" s="32" t="s">
        <v>70</v>
      </c>
      <c r="Q374" s="123">
        <v>0</v>
      </c>
      <c r="R374" s="123">
        <v>0</v>
      </c>
      <c r="S374" s="123">
        <f>40-15</f>
        <v>25</v>
      </c>
      <c r="T374" s="123">
        <f>S374</f>
        <v>25</v>
      </c>
      <c r="U374" s="123">
        <v>0</v>
      </c>
      <c r="V374" s="123">
        <v>514</v>
      </c>
      <c r="W374" s="123">
        <f>56-7</f>
        <v>49</v>
      </c>
      <c r="X374" s="124"/>
      <c r="Z374" s="273"/>
      <c r="AA374" s="273">
        <f>S374-AG374</f>
        <v>-15</v>
      </c>
      <c r="AB374" s="273"/>
      <c r="AC374" s="26">
        <v>5</v>
      </c>
      <c r="AD374" s="32" t="s">
        <v>70</v>
      </c>
      <c r="AE374" s="123">
        <v>0</v>
      </c>
      <c r="AF374" s="123">
        <v>0</v>
      </c>
      <c r="AG374" s="123">
        <f>48-8</f>
        <v>40</v>
      </c>
      <c r="AH374" s="123">
        <f>AG374</f>
        <v>40</v>
      </c>
      <c r="AI374" s="123">
        <v>0</v>
      </c>
      <c r="AJ374" s="123">
        <v>514</v>
      </c>
      <c r="AK374" s="123">
        <f>70-14</f>
        <v>56</v>
      </c>
      <c r="AL374" s="398"/>
    </row>
    <row r="375" spans="1:38" ht="24.95" customHeight="1">
      <c r="A375" s="26">
        <v>6</v>
      </c>
      <c r="B375" s="27" t="s">
        <v>71</v>
      </c>
      <c r="C375" s="123" t="s">
        <v>20</v>
      </c>
      <c r="D375" s="123">
        <v>0</v>
      </c>
      <c r="E375" s="123">
        <v>0</v>
      </c>
      <c r="F375" s="123" t="s">
        <v>20</v>
      </c>
      <c r="G375" s="328">
        <v>0</v>
      </c>
      <c r="H375" s="123">
        <v>0</v>
      </c>
      <c r="I375" s="123" t="s">
        <v>20</v>
      </c>
      <c r="J375" s="124"/>
      <c r="K375" s="380"/>
      <c r="O375" s="26">
        <v>6</v>
      </c>
      <c r="P375" s="27" t="s">
        <v>71</v>
      </c>
      <c r="Q375" s="123">
        <v>0</v>
      </c>
      <c r="R375" s="123">
        <v>0</v>
      </c>
      <c r="S375" s="123">
        <v>0</v>
      </c>
      <c r="T375" s="123">
        <v>0</v>
      </c>
      <c r="U375" s="123">
        <v>0</v>
      </c>
      <c r="V375" s="123">
        <v>0</v>
      </c>
      <c r="W375" s="123">
        <v>0</v>
      </c>
      <c r="X375" s="124"/>
      <c r="AC375" s="26">
        <v>6</v>
      </c>
      <c r="AD375" s="27" t="s">
        <v>71</v>
      </c>
      <c r="AE375" s="123" t="s">
        <v>20</v>
      </c>
      <c r="AF375" s="123">
        <v>0</v>
      </c>
      <c r="AG375" s="123">
        <v>0</v>
      </c>
      <c r="AH375" s="123" t="s">
        <v>20</v>
      </c>
      <c r="AI375" s="328">
        <v>0</v>
      </c>
      <c r="AJ375" s="123">
        <v>0</v>
      </c>
      <c r="AK375" s="123" t="s">
        <v>20</v>
      </c>
      <c r="AL375" s="398"/>
    </row>
    <row r="376" spans="1:38" ht="24.95" customHeight="1">
      <c r="A376" s="26">
        <v>7</v>
      </c>
      <c r="B376" s="27" t="s">
        <v>72</v>
      </c>
      <c r="C376" s="123" t="s">
        <v>20</v>
      </c>
      <c r="D376" s="123">
        <v>0</v>
      </c>
      <c r="E376" s="123">
        <v>0</v>
      </c>
      <c r="F376" s="123" t="s">
        <v>20</v>
      </c>
      <c r="G376" s="328">
        <v>0</v>
      </c>
      <c r="H376" s="123">
        <v>0</v>
      </c>
      <c r="I376" s="123" t="s">
        <v>20</v>
      </c>
      <c r="J376" s="124"/>
      <c r="K376" s="380"/>
      <c r="O376" s="26">
        <v>7</v>
      </c>
      <c r="P376" s="27" t="s">
        <v>72</v>
      </c>
      <c r="Q376" s="123">
        <v>0</v>
      </c>
      <c r="R376" s="123">
        <v>0</v>
      </c>
      <c r="S376" s="123">
        <v>0</v>
      </c>
      <c r="T376" s="123">
        <v>0</v>
      </c>
      <c r="U376" s="328">
        <v>0</v>
      </c>
      <c r="V376" s="123">
        <v>0</v>
      </c>
      <c r="W376" s="123">
        <v>0</v>
      </c>
      <c r="X376" s="124"/>
      <c r="AC376" s="26">
        <v>7</v>
      </c>
      <c r="AD376" s="27" t="s">
        <v>72</v>
      </c>
      <c r="AE376" s="123" t="s">
        <v>20</v>
      </c>
      <c r="AF376" s="123">
        <v>0</v>
      </c>
      <c r="AG376" s="123">
        <v>0</v>
      </c>
      <c r="AH376" s="123" t="s">
        <v>20</v>
      </c>
      <c r="AI376" s="328">
        <v>0</v>
      </c>
      <c r="AJ376" s="123">
        <v>0</v>
      </c>
      <c r="AK376" s="123" t="s">
        <v>20</v>
      </c>
      <c r="AL376" s="398"/>
    </row>
    <row r="377" spans="1:38" ht="24.95" customHeight="1">
      <c r="A377" s="26">
        <v>8</v>
      </c>
      <c r="B377" s="27" t="s">
        <v>73</v>
      </c>
      <c r="C377" s="123" t="s">
        <v>20</v>
      </c>
      <c r="D377" s="123">
        <v>0</v>
      </c>
      <c r="E377" s="123">
        <v>0</v>
      </c>
      <c r="F377" s="123" t="s">
        <v>20</v>
      </c>
      <c r="G377" s="328">
        <v>0</v>
      </c>
      <c r="H377" s="123">
        <v>0</v>
      </c>
      <c r="I377" s="123" t="s">
        <v>20</v>
      </c>
      <c r="J377" s="124"/>
      <c r="K377" s="380"/>
      <c r="O377" s="26">
        <v>8</v>
      </c>
      <c r="P377" s="27" t="s">
        <v>73</v>
      </c>
      <c r="Q377" s="123">
        <v>0</v>
      </c>
      <c r="R377" s="123">
        <v>0</v>
      </c>
      <c r="S377" s="123">
        <v>0</v>
      </c>
      <c r="T377" s="123">
        <v>0</v>
      </c>
      <c r="U377" s="328">
        <v>0</v>
      </c>
      <c r="V377" s="123">
        <v>0</v>
      </c>
      <c r="W377" s="123">
        <v>0</v>
      </c>
      <c r="X377" s="124"/>
      <c r="AC377" s="26">
        <v>8</v>
      </c>
      <c r="AD377" s="27" t="s">
        <v>73</v>
      </c>
      <c r="AE377" s="123" t="s">
        <v>20</v>
      </c>
      <c r="AF377" s="123">
        <v>0</v>
      </c>
      <c r="AG377" s="123">
        <v>0</v>
      </c>
      <c r="AH377" s="123" t="s">
        <v>20</v>
      </c>
      <c r="AI377" s="328">
        <v>0</v>
      </c>
      <c r="AJ377" s="123">
        <v>0</v>
      </c>
      <c r="AK377" s="123" t="s">
        <v>20</v>
      </c>
      <c r="AL377" s="398"/>
    </row>
    <row r="378" spans="1:38" ht="24.95" customHeight="1">
      <c r="A378" s="26">
        <v>9</v>
      </c>
      <c r="B378" s="27" t="s">
        <v>74</v>
      </c>
      <c r="C378" s="123" t="s">
        <v>20</v>
      </c>
      <c r="D378" s="123">
        <v>0</v>
      </c>
      <c r="E378" s="123">
        <v>0</v>
      </c>
      <c r="F378" s="123" t="s">
        <v>20</v>
      </c>
      <c r="G378" s="328">
        <v>0</v>
      </c>
      <c r="H378" s="123">
        <v>0</v>
      </c>
      <c r="I378" s="123" t="s">
        <v>20</v>
      </c>
      <c r="J378" s="124"/>
      <c r="K378" s="380"/>
      <c r="O378" s="26">
        <v>9</v>
      </c>
      <c r="P378" s="27" t="s">
        <v>74</v>
      </c>
      <c r="Q378" s="123">
        <v>0</v>
      </c>
      <c r="R378" s="123">
        <v>0</v>
      </c>
      <c r="S378" s="123">
        <v>0</v>
      </c>
      <c r="T378" s="123">
        <v>0</v>
      </c>
      <c r="U378" s="328">
        <v>0</v>
      </c>
      <c r="V378" s="123">
        <v>0</v>
      </c>
      <c r="W378" s="123">
        <v>0</v>
      </c>
      <c r="X378" s="124"/>
      <c r="AC378" s="26">
        <v>9</v>
      </c>
      <c r="AD378" s="27" t="s">
        <v>74</v>
      </c>
      <c r="AE378" s="123" t="s">
        <v>20</v>
      </c>
      <c r="AF378" s="123">
        <v>0</v>
      </c>
      <c r="AG378" s="123">
        <v>0</v>
      </c>
      <c r="AH378" s="123" t="s">
        <v>20</v>
      </c>
      <c r="AI378" s="328">
        <v>0</v>
      </c>
      <c r="AJ378" s="123">
        <v>0</v>
      </c>
      <c r="AK378" s="123" t="s">
        <v>20</v>
      </c>
      <c r="AL378" s="398"/>
    </row>
    <row r="379" spans="1:38" ht="24.95" customHeight="1">
      <c r="A379" s="26">
        <v>10</v>
      </c>
      <c r="B379" s="27" t="s">
        <v>75</v>
      </c>
      <c r="C379" s="123" t="s">
        <v>20</v>
      </c>
      <c r="D379" s="123">
        <v>0</v>
      </c>
      <c r="E379" s="123">
        <v>0</v>
      </c>
      <c r="F379" s="123" t="s">
        <v>20</v>
      </c>
      <c r="G379" s="328">
        <v>0</v>
      </c>
      <c r="H379" s="123">
        <v>0</v>
      </c>
      <c r="I379" s="123" t="s">
        <v>20</v>
      </c>
      <c r="J379" s="124"/>
      <c r="K379" s="380"/>
      <c r="O379" s="26">
        <v>10</v>
      </c>
      <c r="P379" s="27" t="s">
        <v>75</v>
      </c>
      <c r="Q379" s="123">
        <v>0</v>
      </c>
      <c r="R379" s="123">
        <v>0</v>
      </c>
      <c r="S379" s="123">
        <v>0</v>
      </c>
      <c r="T379" s="123">
        <v>0</v>
      </c>
      <c r="U379" s="328">
        <v>0</v>
      </c>
      <c r="V379" s="123">
        <v>0</v>
      </c>
      <c r="W379" s="123">
        <v>0</v>
      </c>
      <c r="X379" s="124"/>
      <c r="AC379" s="26">
        <v>10</v>
      </c>
      <c r="AD379" s="27" t="s">
        <v>75</v>
      </c>
      <c r="AE379" s="123" t="s">
        <v>20</v>
      </c>
      <c r="AF379" s="123">
        <v>0</v>
      </c>
      <c r="AG379" s="123">
        <v>0</v>
      </c>
      <c r="AH379" s="123" t="s">
        <v>20</v>
      </c>
      <c r="AI379" s="328">
        <v>0</v>
      </c>
      <c r="AJ379" s="123">
        <v>0</v>
      </c>
      <c r="AK379" s="123" t="s">
        <v>20</v>
      </c>
      <c r="AL379" s="398"/>
    </row>
    <row r="380" spans="1:38" ht="24.95" customHeight="1">
      <c r="A380" s="26">
        <v>11</v>
      </c>
      <c r="B380" s="35" t="s">
        <v>76</v>
      </c>
      <c r="C380" s="123" t="s">
        <v>20</v>
      </c>
      <c r="D380" s="123">
        <v>0</v>
      </c>
      <c r="E380" s="123">
        <v>0</v>
      </c>
      <c r="F380" s="123" t="s">
        <v>20</v>
      </c>
      <c r="G380" s="328">
        <v>0</v>
      </c>
      <c r="H380" s="123">
        <v>0</v>
      </c>
      <c r="I380" s="123" t="s">
        <v>20</v>
      </c>
      <c r="J380" s="124"/>
      <c r="K380" s="380"/>
      <c r="O380" s="26">
        <v>11</v>
      </c>
      <c r="P380" s="35" t="s">
        <v>76</v>
      </c>
      <c r="Q380" s="123">
        <v>0</v>
      </c>
      <c r="R380" s="123">
        <v>0</v>
      </c>
      <c r="S380" s="123">
        <v>0</v>
      </c>
      <c r="T380" s="123">
        <v>0</v>
      </c>
      <c r="U380" s="123">
        <v>0</v>
      </c>
      <c r="V380" s="123">
        <v>0</v>
      </c>
      <c r="W380" s="123">
        <v>0</v>
      </c>
      <c r="X380" s="124"/>
      <c r="AC380" s="26">
        <v>11</v>
      </c>
      <c r="AD380" s="35" t="s">
        <v>76</v>
      </c>
      <c r="AE380" s="123" t="s">
        <v>20</v>
      </c>
      <c r="AF380" s="123">
        <v>0</v>
      </c>
      <c r="AG380" s="123">
        <v>0</v>
      </c>
      <c r="AH380" s="123" t="s">
        <v>20</v>
      </c>
      <c r="AI380" s="328">
        <v>0</v>
      </c>
      <c r="AJ380" s="123">
        <v>0</v>
      </c>
      <c r="AK380" s="123" t="s">
        <v>20</v>
      </c>
      <c r="AL380" s="398"/>
    </row>
    <row r="381" spans="1:38" ht="24.95" customHeight="1">
      <c r="A381" s="664" t="s">
        <v>77</v>
      </c>
      <c r="B381" s="665"/>
      <c r="C381" s="384">
        <f>SUM(C370:C380)</f>
        <v>0</v>
      </c>
      <c r="D381" s="317">
        <f>SUM(D370:D380)</f>
        <v>10</v>
      </c>
      <c r="E381" s="384">
        <f>SUM(E370:E380)</f>
        <v>51</v>
      </c>
      <c r="F381" s="317">
        <f>SUM(F370:F380)</f>
        <v>61</v>
      </c>
      <c r="G381" s="429">
        <f>SUM(G370:G380)</f>
        <v>5.1400000000000006</v>
      </c>
      <c r="H381" s="317">
        <v>514</v>
      </c>
      <c r="I381" s="382">
        <f>SUM(I370:I380)</f>
        <v>151</v>
      </c>
      <c r="J381" s="383">
        <f>SUM(J370:J380)</f>
        <v>-12</v>
      </c>
      <c r="K381" s="380">
        <f>SUM(K370:K374)</f>
        <v>0</v>
      </c>
      <c r="L381" s="380">
        <f t="shared" ref="L381:N381" si="178">SUM(L370:L374)</f>
        <v>0</v>
      </c>
      <c r="M381" s="380">
        <f t="shared" si="178"/>
        <v>-12</v>
      </c>
      <c r="N381" s="380">
        <f t="shared" si="178"/>
        <v>-5</v>
      </c>
      <c r="O381" s="664" t="s">
        <v>77</v>
      </c>
      <c r="P381" s="665"/>
      <c r="Q381" s="384">
        <f>SUM(Q370:Q380)</f>
        <v>0</v>
      </c>
      <c r="R381" s="317">
        <f>SUM(R370:R380)</f>
        <v>10</v>
      </c>
      <c r="S381" s="384">
        <f>SUM(S370:S380)</f>
        <v>63</v>
      </c>
      <c r="T381" s="317">
        <f>SUM(T370:T380)</f>
        <v>73</v>
      </c>
      <c r="U381" s="429">
        <f>SUM(U370:U380)</f>
        <v>5.1400000000000006</v>
      </c>
      <c r="V381" s="317">
        <v>514</v>
      </c>
      <c r="W381" s="382">
        <f>SUM(W370:W380)</f>
        <v>156</v>
      </c>
      <c r="X381" s="383"/>
      <c r="AC381" s="664" t="s">
        <v>77</v>
      </c>
      <c r="AD381" s="665"/>
      <c r="AE381" s="384">
        <f>SUM(AE370:AE380)</f>
        <v>0</v>
      </c>
      <c r="AF381" s="317">
        <f>SUM(AF370:AF380)</f>
        <v>10</v>
      </c>
      <c r="AG381" s="384">
        <f>SUM(AG370:AG380)</f>
        <v>85</v>
      </c>
      <c r="AH381" s="317">
        <f>SUM(AH370:AH380)</f>
        <v>95</v>
      </c>
      <c r="AI381" s="429">
        <f>SUM(AI370:AI380)</f>
        <v>5.1400000000000006</v>
      </c>
      <c r="AJ381" s="317">
        <v>514</v>
      </c>
      <c r="AK381" s="382">
        <f>SUM(AK370:AK380)</f>
        <v>164</v>
      </c>
      <c r="AL381" s="432"/>
    </row>
    <row r="382" spans="1:38" ht="24.95" customHeight="1">
      <c r="C382" s="273">
        <f>C381-Q381</f>
        <v>0</v>
      </c>
      <c r="D382" s="273">
        <f t="shared" ref="D382:I382" si="179">D381-R381</f>
        <v>0</v>
      </c>
      <c r="E382" s="273">
        <f t="shared" si="179"/>
        <v>-12</v>
      </c>
      <c r="F382" s="273">
        <f t="shared" si="179"/>
        <v>-12</v>
      </c>
      <c r="G382" s="273">
        <f t="shared" si="179"/>
        <v>0</v>
      </c>
      <c r="H382" s="273">
        <f t="shared" si="179"/>
        <v>0</v>
      </c>
      <c r="I382" s="273">
        <f t="shared" si="179"/>
        <v>-5</v>
      </c>
      <c r="J382" s="273"/>
      <c r="Q382" s="273">
        <f>Q381-AE381</f>
        <v>0</v>
      </c>
      <c r="R382" s="273">
        <f>R381-AF381</f>
        <v>0</v>
      </c>
      <c r="S382" s="273">
        <f>S381-AG381</f>
        <v>-22</v>
      </c>
      <c r="T382" s="273">
        <f>T381-AH381</f>
        <v>-22</v>
      </c>
      <c r="U382" s="273">
        <f t="shared" ref="U382:W382" si="180">U381-AI381</f>
        <v>0</v>
      </c>
      <c r="V382" s="273">
        <f t="shared" si="180"/>
        <v>0</v>
      </c>
      <c r="W382" s="273">
        <f t="shared" si="180"/>
        <v>-8</v>
      </c>
    </row>
    <row r="383" spans="1:38" ht="24.95" customHeight="1">
      <c r="B383" s="1" t="s">
        <v>12</v>
      </c>
      <c r="C383" s="434" t="s">
        <v>33</v>
      </c>
      <c r="F383" s="118"/>
      <c r="G383" s="1"/>
      <c r="H383">
        <f>G381/D381*1000</f>
        <v>514</v>
      </c>
      <c r="P383" s="1" t="s">
        <v>12</v>
      </c>
      <c r="Q383" s="434" t="s">
        <v>33</v>
      </c>
      <c r="T383" s="118"/>
      <c r="U383" s="1"/>
      <c r="V383">
        <f>U381/R381*1000</f>
        <v>514</v>
      </c>
      <c r="AD383" s="385"/>
      <c r="AE383" s="118"/>
      <c r="AF383" s="118"/>
      <c r="AG383" s="118"/>
      <c r="AH383" s="118"/>
      <c r="AI383" s="1" t="s">
        <v>104</v>
      </c>
    </row>
    <row r="384" spans="1:38" ht="24.95" customHeight="1">
      <c r="B384" s="1" t="s">
        <v>13</v>
      </c>
      <c r="C384" s="434" t="s">
        <v>34</v>
      </c>
      <c r="G384" s="650"/>
      <c r="H384" s="637"/>
      <c r="I384" s="637"/>
      <c r="J384" s="637"/>
      <c r="K384" s="48"/>
      <c r="P384" s="1" t="s">
        <v>13</v>
      </c>
      <c r="Q384" s="434" t="s">
        <v>34</v>
      </c>
      <c r="U384" s="650"/>
      <c r="V384" s="637"/>
      <c r="W384" s="637"/>
      <c r="X384" s="637"/>
      <c r="AI384" s="266" t="s">
        <v>105</v>
      </c>
      <c r="AJ384" s="323"/>
      <c r="AK384" s="323"/>
      <c r="AL384" s="323"/>
    </row>
    <row r="385" spans="2:38" ht="24.95" customHeight="1">
      <c r="B385" s="1" t="s">
        <v>14</v>
      </c>
      <c r="C385" s="434" t="s">
        <v>35</v>
      </c>
      <c r="G385" s="1"/>
      <c r="P385" s="1" t="s">
        <v>14</v>
      </c>
      <c r="Q385" s="434" t="s">
        <v>35</v>
      </c>
      <c r="U385" s="1"/>
      <c r="AI385" s="1" t="s">
        <v>106</v>
      </c>
    </row>
    <row r="386" spans="2:38" ht="24.95" customHeight="1"/>
    <row r="387" spans="2:38" ht="24.95" customHeight="1">
      <c r="F387" s="436"/>
      <c r="G387" s="650"/>
      <c r="H387" s="650"/>
      <c r="I387" s="650"/>
      <c r="J387" s="650"/>
      <c r="K387" s="47"/>
      <c r="T387" s="436"/>
      <c r="U387" s="650"/>
      <c r="V387" s="650"/>
      <c r="W387" s="650"/>
      <c r="X387" s="650"/>
      <c r="AH387" s="436"/>
      <c r="AI387" s="650"/>
      <c r="AJ387" s="650"/>
      <c r="AK387" s="650"/>
      <c r="AL387" s="650"/>
    </row>
    <row r="388" spans="2:38" ht="24.95" customHeight="1">
      <c r="G388" s="48"/>
      <c r="H388" s="48"/>
      <c r="I388" s="48"/>
      <c r="J388" s="48"/>
      <c r="K388" s="48"/>
      <c r="U388" s="48"/>
      <c r="V388" s="48"/>
      <c r="W388" s="48"/>
      <c r="X388" s="48"/>
      <c r="AI388" s="48"/>
      <c r="AJ388" s="48"/>
      <c r="AK388" s="48"/>
      <c r="AL388" s="48"/>
    </row>
    <row r="389" spans="2:38" ht="24.95" customHeight="1">
      <c r="G389" s="637"/>
      <c r="H389" s="637"/>
      <c r="I389" s="637"/>
      <c r="J389" s="637"/>
      <c r="K389" s="48"/>
      <c r="U389" s="637"/>
      <c r="V389" s="637"/>
      <c r="W389" s="637"/>
      <c r="X389" s="637"/>
      <c r="AI389" s="637"/>
      <c r="AJ389" s="637"/>
      <c r="AK389" s="637"/>
      <c r="AL389" s="637"/>
    </row>
    <row r="390" spans="2:38" ht="24.95" customHeight="1">
      <c r="G390" s="637"/>
      <c r="H390" s="637"/>
      <c r="I390" s="637"/>
      <c r="J390" s="637"/>
      <c r="K390" s="48"/>
      <c r="U390" s="637"/>
      <c r="V390" s="637"/>
      <c r="W390" s="637"/>
      <c r="X390" s="637"/>
      <c r="AI390" s="637"/>
      <c r="AJ390" s="637"/>
      <c r="AK390" s="637"/>
      <c r="AL390" s="637"/>
    </row>
    <row r="391" spans="2:38" ht="24.95" customHeight="1"/>
    <row r="392" spans="2:38" ht="24.95" customHeight="1"/>
    <row r="393" spans="2:38" ht="24.95" customHeight="1">
      <c r="G393" s="653"/>
      <c r="H393" s="653"/>
      <c r="I393" s="653"/>
      <c r="J393" s="653"/>
      <c r="K393" s="46"/>
      <c r="U393" s="653"/>
      <c r="V393" s="653"/>
      <c r="W393" s="653"/>
      <c r="X393" s="653"/>
      <c r="AI393" s="653"/>
      <c r="AJ393" s="653"/>
      <c r="AK393" s="653"/>
      <c r="AL393" s="653"/>
    </row>
    <row r="394" spans="2:38">
      <c r="G394" s="637"/>
      <c r="H394" s="637"/>
      <c r="I394" s="637"/>
      <c r="J394" s="637"/>
      <c r="K394" s="48"/>
      <c r="U394" s="637"/>
      <c r="V394" s="637"/>
      <c r="W394" s="637"/>
      <c r="X394" s="637"/>
      <c r="AI394" s="637"/>
      <c r="AJ394" s="637"/>
      <c r="AK394" s="637"/>
      <c r="AL394" s="637"/>
    </row>
    <row r="395" spans="2:38">
      <c r="G395" s="637"/>
      <c r="H395" s="637"/>
      <c r="I395" s="637"/>
      <c r="J395" s="637"/>
      <c r="K395" s="48"/>
      <c r="U395" s="637"/>
      <c r="V395" s="637"/>
      <c r="W395" s="637"/>
      <c r="X395" s="637"/>
      <c r="AI395" s="637"/>
      <c r="AJ395" s="637"/>
      <c r="AK395" s="637"/>
      <c r="AL395" s="637"/>
    </row>
    <row r="396" spans="2:38">
      <c r="G396" s="48"/>
      <c r="H396" s="48"/>
      <c r="I396" s="48"/>
      <c r="J396" s="48"/>
      <c r="K396" s="48"/>
      <c r="U396" s="48"/>
      <c r="V396" s="48"/>
      <c r="W396" s="48"/>
      <c r="X396" s="48"/>
      <c r="AI396" s="48"/>
      <c r="AJ396" s="48"/>
      <c r="AK396" s="48"/>
      <c r="AL396" s="48"/>
    </row>
    <row r="397" spans="2:38">
      <c r="G397" s="48"/>
      <c r="H397" s="48"/>
      <c r="I397" s="48"/>
      <c r="J397" s="48"/>
      <c r="K397" s="48"/>
      <c r="U397" s="48"/>
      <c r="V397" s="48"/>
      <c r="W397" s="48"/>
      <c r="X397" s="48"/>
      <c r="AI397" s="48"/>
      <c r="AJ397" s="48"/>
      <c r="AK397" s="48"/>
      <c r="AL397" s="48"/>
    </row>
    <row r="398" spans="2:38">
      <c r="G398" s="48"/>
      <c r="H398" s="48"/>
      <c r="I398" s="48"/>
      <c r="J398" s="48"/>
      <c r="K398" s="48"/>
      <c r="U398" s="48"/>
      <c r="V398" s="48"/>
      <c r="W398" s="48"/>
      <c r="X398" s="48"/>
      <c r="AI398" s="48"/>
      <c r="AJ398" s="48"/>
      <c r="AK398" s="48"/>
      <c r="AL398" s="48"/>
    </row>
    <row r="399" spans="2:38">
      <c r="G399" s="48"/>
      <c r="H399" s="48"/>
      <c r="I399" s="48"/>
      <c r="J399" s="48"/>
      <c r="K399" s="48"/>
      <c r="U399" s="48"/>
      <c r="V399" s="48"/>
      <c r="W399" s="48"/>
      <c r="X399" s="48"/>
      <c r="AI399" s="48"/>
      <c r="AJ399" s="48"/>
      <c r="AK399" s="48"/>
      <c r="AL399" s="48"/>
    </row>
    <row r="400" spans="2:38">
      <c r="G400" s="48"/>
      <c r="H400" s="48"/>
      <c r="I400" s="48"/>
      <c r="J400" s="48"/>
      <c r="K400" s="48"/>
      <c r="U400" s="48"/>
      <c r="V400" s="48"/>
      <c r="W400" s="48"/>
      <c r="X400" s="48"/>
      <c r="AI400" s="48"/>
      <c r="AJ400" s="48"/>
      <c r="AK400" s="48"/>
      <c r="AL400" s="48"/>
    </row>
    <row r="401" spans="1:38">
      <c r="G401" s="48"/>
      <c r="H401" s="48"/>
      <c r="I401" s="48"/>
      <c r="J401" s="48"/>
      <c r="K401" s="48"/>
      <c r="U401" s="48"/>
      <c r="V401" s="48"/>
      <c r="W401" s="48"/>
      <c r="X401" s="48"/>
      <c r="AI401" s="48"/>
      <c r="AJ401" s="48"/>
      <c r="AK401" s="48"/>
      <c r="AL401" s="48"/>
    </row>
    <row r="402" spans="1:38">
      <c r="G402" s="48"/>
      <c r="H402" s="48"/>
      <c r="I402" s="48"/>
      <c r="J402" s="48"/>
      <c r="K402" s="48"/>
      <c r="U402" s="48"/>
      <c r="V402" s="48"/>
      <c r="W402" s="48"/>
      <c r="X402" s="48"/>
      <c r="AI402" s="48"/>
      <c r="AJ402" s="48"/>
      <c r="AK402" s="48"/>
      <c r="AL402" s="48"/>
    </row>
    <row r="403" spans="1:38">
      <c r="G403" s="48"/>
      <c r="H403" s="48"/>
      <c r="I403" s="48"/>
      <c r="J403" s="48"/>
      <c r="K403" s="48"/>
      <c r="U403" s="48"/>
      <c r="V403" s="48"/>
      <c r="W403" s="48"/>
      <c r="X403" s="48"/>
      <c r="AI403" s="48"/>
      <c r="AJ403" s="48"/>
      <c r="AK403" s="48"/>
      <c r="AL403" s="48"/>
    </row>
    <row r="404" spans="1:38" ht="24.95" customHeight="1">
      <c r="G404" s="48"/>
      <c r="H404" s="48"/>
      <c r="I404" s="48"/>
      <c r="J404" s="48"/>
      <c r="K404" s="48"/>
      <c r="U404" s="48"/>
      <c r="V404" s="48"/>
      <c r="W404" s="48"/>
      <c r="X404" s="48"/>
      <c r="AI404" s="48"/>
      <c r="AJ404" s="48"/>
      <c r="AK404" s="48"/>
      <c r="AL404" s="48"/>
    </row>
    <row r="405" spans="1:38" ht="24.95" customHeight="1">
      <c r="A405" s="632" t="s">
        <v>59</v>
      </c>
      <c r="B405" s="632"/>
      <c r="C405" s="632"/>
      <c r="D405" s="632"/>
      <c r="E405" s="632"/>
      <c r="F405" s="632"/>
      <c r="G405" s="632"/>
      <c r="H405" s="632"/>
      <c r="I405" s="632"/>
      <c r="J405" s="632"/>
      <c r="K405" s="296"/>
      <c r="O405" s="632" t="s">
        <v>59</v>
      </c>
      <c r="P405" s="632"/>
      <c r="Q405" s="632"/>
      <c r="R405" s="632"/>
      <c r="S405" s="632"/>
      <c r="T405" s="632"/>
      <c r="U405" s="632"/>
      <c r="V405" s="632"/>
      <c r="W405" s="632"/>
      <c r="X405" s="632"/>
      <c r="AC405" s="663" t="s">
        <v>59</v>
      </c>
      <c r="AD405" s="663"/>
      <c r="AE405" s="663"/>
      <c r="AF405" s="663"/>
      <c r="AG405" s="663"/>
      <c r="AH405" s="663"/>
      <c r="AI405" s="663"/>
      <c r="AJ405" s="663"/>
      <c r="AK405" s="663"/>
      <c r="AL405" s="663"/>
    </row>
    <row r="406" spans="1:38" ht="24.95" customHeight="1">
      <c r="A406" s="632" t="s">
        <v>1</v>
      </c>
      <c r="B406" s="632"/>
      <c r="C406" s="632"/>
      <c r="D406" s="632"/>
      <c r="E406" s="632"/>
      <c r="F406" s="632"/>
      <c r="G406" s="632"/>
      <c r="H406" s="632"/>
      <c r="I406" s="632"/>
      <c r="J406" s="632"/>
      <c r="K406" s="296"/>
      <c r="O406" s="632" t="s">
        <v>1</v>
      </c>
      <c r="P406" s="632"/>
      <c r="Q406" s="632"/>
      <c r="R406" s="632"/>
      <c r="S406" s="632"/>
      <c r="T406" s="632"/>
      <c r="U406" s="632"/>
      <c r="V406" s="632"/>
      <c r="W406" s="632"/>
      <c r="X406" s="632"/>
      <c r="AC406" s="663" t="s">
        <v>1</v>
      </c>
      <c r="AD406" s="663"/>
      <c r="AE406" s="663"/>
      <c r="AF406" s="663"/>
      <c r="AG406" s="663"/>
      <c r="AH406" s="663"/>
      <c r="AI406" s="663"/>
      <c r="AJ406" s="663"/>
      <c r="AK406" s="663"/>
      <c r="AL406" s="663"/>
    </row>
    <row r="407" spans="1:38" ht="24.95" customHeight="1">
      <c r="A407" s="632" t="s">
        <v>206</v>
      </c>
      <c r="B407" s="632"/>
      <c r="C407" s="632"/>
      <c r="D407" s="632"/>
      <c r="E407" s="632"/>
      <c r="F407" s="632"/>
      <c r="G407" s="632"/>
      <c r="H407" s="632"/>
      <c r="I407" s="632"/>
      <c r="J407" s="632"/>
      <c r="K407" s="623"/>
      <c r="O407" s="632" t="s">
        <v>60</v>
      </c>
      <c r="P407" s="632"/>
      <c r="Q407" s="632"/>
      <c r="R407" s="632"/>
      <c r="S407" s="632"/>
      <c r="T407" s="632"/>
      <c r="U407" s="632"/>
      <c r="V407" s="632"/>
      <c r="W407" s="632"/>
      <c r="X407" s="632"/>
      <c r="AC407" s="663" t="s">
        <v>107</v>
      </c>
      <c r="AD407" s="663"/>
      <c r="AE407" s="663"/>
      <c r="AF407" s="663"/>
      <c r="AG407" s="663"/>
      <c r="AH407" s="663"/>
      <c r="AI407" s="663"/>
      <c r="AJ407" s="663"/>
      <c r="AK407" s="663"/>
      <c r="AL407" s="663"/>
    </row>
    <row r="408" spans="1:38" ht="24.95" customHeight="1"/>
    <row r="409" spans="1:38" ht="24.95" customHeight="1">
      <c r="A409" t="s">
        <v>61</v>
      </c>
      <c r="C409" t="s">
        <v>92</v>
      </c>
      <c r="O409" t="s">
        <v>61</v>
      </c>
      <c r="Q409" t="s">
        <v>92</v>
      </c>
      <c r="AC409" t="s">
        <v>61</v>
      </c>
      <c r="AE409" t="s">
        <v>92</v>
      </c>
    </row>
    <row r="410" spans="1:38" ht="24.95" customHeight="1"/>
    <row r="411" spans="1:38" ht="30" customHeight="1">
      <c r="A411" s="297" t="s">
        <v>4</v>
      </c>
      <c r="B411" s="298" t="s">
        <v>63</v>
      </c>
      <c r="C411" s="298" t="s">
        <v>12</v>
      </c>
      <c r="D411" s="298" t="s">
        <v>13</v>
      </c>
      <c r="E411" s="298" t="s">
        <v>14</v>
      </c>
      <c r="F411" s="299" t="s">
        <v>93</v>
      </c>
      <c r="G411" s="299" t="s">
        <v>8</v>
      </c>
      <c r="H411" s="299" t="s">
        <v>9</v>
      </c>
      <c r="I411" s="299" t="s">
        <v>10</v>
      </c>
      <c r="J411" s="330" t="s">
        <v>11</v>
      </c>
      <c r="K411" s="430"/>
      <c r="O411" s="297" t="s">
        <v>4</v>
      </c>
      <c r="P411" s="298" t="s">
        <v>63</v>
      </c>
      <c r="Q411" s="298" t="s">
        <v>12</v>
      </c>
      <c r="R411" s="298" t="s">
        <v>13</v>
      </c>
      <c r="S411" s="298" t="s">
        <v>14</v>
      </c>
      <c r="T411" s="299" t="s">
        <v>93</v>
      </c>
      <c r="U411" s="299" t="s">
        <v>8</v>
      </c>
      <c r="V411" s="299" t="s">
        <v>9</v>
      </c>
      <c r="W411" s="299" t="s">
        <v>10</v>
      </c>
      <c r="X411" s="330" t="s">
        <v>11</v>
      </c>
      <c r="Z411" s="357" t="s">
        <v>103</v>
      </c>
      <c r="AC411" s="297" t="s">
        <v>4</v>
      </c>
      <c r="AD411" s="298" t="s">
        <v>63</v>
      </c>
      <c r="AE411" s="298" t="s">
        <v>12</v>
      </c>
      <c r="AF411" s="298" t="s">
        <v>13</v>
      </c>
      <c r="AG411" s="298" t="s">
        <v>14</v>
      </c>
      <c r="AH411" s="299" t="s">
        <v>93</v>
      </c>
      <c r="AI411" s="299" t="s">
        <v>8</v>
      </c>
      <c r="AJ411" s="299" t="s">
        <v>9</v>
      </c>
      <c r="AK411" s="299" t="s">
        <v>10</v>
      </c>
      <c r="AL411" s="330" t="s">
        <v>11</v>
      </c>
    </row>
    <row r="412" spans="1:38" ht="24.95" customHeight="1" thickTop="1" thickBot="1">
      <c r="A412" s="300">
        <v>1</v>
      </c>
      <c r="B412" s="301">
        <v>2</v>
      </c>
      <c r="C412" s="301">
        <v>3</v>
      </c>
      <c r="D412" s="301">
        <v>4</v>
      </c>
      <c r="E412" s="301">
        <v>5</v>
      </c>
      <c r="F412" s="301">
        <v>6</v>
      </c>
      <c r="G412" s="301">
        <v>7</v>
      </c>
      <c r="H412" s="301">
        <v>8</v>
      </c>
      <c r="I412" s="301">
        <v>9</v>
      </c>
      <c r="J412" s="333">
        <v>10</v>
      </c>
      <c r="K412" s="334" t="s">
        <v>12</v>
      </c>
      <c r="L412" s="1" t="s">
        <v>13</v>
      </c>
      <c r="M412" s="1" t="s">
        <v>14</v>
      </c>
      <c r="N412" s="1" t="s">
        <v>65</v>
      </c>
      <c r="O412" s="300">
        <v>1</v>
      </c>
      <c r="P412" s="301">
        <v>2</v>
      </c>
      <c r="Q412" s="301">
        <v>3</v>
      </c>
      <c r="R412" s="301">
        <v>4</v>
      </c>
      <c r="S412" s="301">
        <v>5</v>
      </c>
      <c r="T412" s="301">
        <v>6</v>
      </c>
      <c r="U412" s="301">
        <v>7</v>
      </c>
      <c r="V412" s="301">
        <v>8</v>
      </c>
      <c r="W412" s="301">
        <v>9</v>
      </c>
      <c r="X412" s="333">
        <v>10</v>
      </c>
      <c r="Z412" s="1"/>
      <c r="AC412" s="300">
        <v>1</v>
      </c>
      <c r="AD412" s="301">
        <v>2</v>
      </c>
      <c r="AE412" s="301">
        <v>3</v>
      </c>
      <c r="AF412" s="301">
        <v>4</v>
      </c>
      <c r="AG412" s="301">
        <v>5</v>
      </c>
      <c r="AH412" s="301">
        <v>6</v>
      </c>
      <c r="AI412" s="301">
        <v>7</v>
      </c>
      <c r="AJ412" s="301">
        <v>8</v>
      </c>
      <c r="AK412" s="301">
        <v>9</v>
      </c>
      <c r="AL412" s="333">
        <v>10</v>
      </c>
    </row>
    <row r="413" spans="1:38" ht="24.95" customHeight="1" thickTop="1">
      <c r="A413" s="16">
        <v>1</v>
      </c>
      <c r="B413" s="17" t="s">
        <v>82</v>
      </c>
      <c r="C413" s="302">
        <v>0</v>
      </c>
      <c r="D413" s="302">
        <v>0</v>
      </c>
      <c r="E413" s="302">
        <v>0</v>
      </c>
      <c r="F413" s="302">
        <v>0</v>
      </c>
      <c r="G413" s="302">
        <v>0</v>
      </c>
      <c r="H413" s="302">
        <v>0</v>
      </c>
      <c r="I413" s="302">
        <v>0</v>
      </c>
      <c r="J413" s="431"/>
      <c r="K413" s="380"/>
      <c r="O413" s="16">
        <v>1</v>
      </c>
      <c r="P413" s="17" t="s">
        <v>82</v>
      </c>
      <c r="Q413" s="302">
        <v>0</v>
      </c>
      <c r="R413" s="302">
        <v>0</v>
      </c>
      <c r="S413" s="302">
        <v>0</v>
      </c>
      <c r="T413" s="302">
        <v>0</v>
      </c>
      <c r="U413" s="302">
        <v>0</v>
      </c>
      <c r="V413" s="302">
        <v>0</v>
      </c>
      <c r="W413" s="302">
        <v>0</v>
      </c>
      <c r="X413" s="431"/>
      <c r="AC413" s="16">
        <v>1</v>
      </c>
      <c r="AD413" s="17" t="s">
        <v>82</v>
      </c>
      <c r="AE413" s="302">
        <v>0</v>
      </c>
      <c r="AF413" s="302">
        <v>0</v>
      </c>
      <c r="AG413" s="302">
        <v>0</v>
      </c>
      <c r="AH413" s="302">
        <v>0</v>
      </c>
      <c r="AI413" s="302">
        <v>0</v>
      </c>
      <c r="AJ413" s="302">
        <v>0</v>
      </c>
      <c r="AK413" s="302">
        <v>0</v>
      </c>
      <c r="AL413" s="336"/>
    </row>
    <row r="414" spans="1:38" ht="24.95" customHeight="1">
      <c r="A414" s="22">
        <v>2</v>
      </c>
      <c r="B414" s="23" t="s">
        <v>67</v>
      </c>
      <c r="C414" s="123">
        <v>0</v>
      </c>
      <c r="D414" s="123">
        <v>0</v>
      </c>
      <c r="E414" s="123">
        <v>0</v>
      </c>
      <c r="F414" s="123">
        <v>0</v>
      </c>
      <c r="G414" s="123">
        <v>0</v>
      </c>
      <c r="H414" s="123">
        <v>0</v>
      </c>
      <c r="I414" s="123">
        <v>0</v>
      </c>
      <c r="J414" s="124"/>
      <c r="K414" s="380"/>
      <c r="O414" s="22">
        <v>2</v>
      </c>
      <c r="P414" s="23" t="s">
        <v>67</v>
      </c>
      <c r="Q414" s="123">
        <v>0</v>
      </c>
      <c r="R414" s="123">
        <v>0</v>
      </c>
      <c r="S414" s="123">
        <v>0</v>
      </c>
      <c r="T414" s="123">
        <v>0</v>
      </c>
      <c r="U414" s="123">
        <v>0</v>
      </c>
      <c r="V414" s="123">
        <v>0</v>
      </c>
      <c r="W414" s="123">
        <v>0</v>
      </c>
      <c r="X414" s="124"/>
      <c r="AC414" s="22">
        <v>2</v>
      </c>
      <c r="AD414" s="23" t="s">
        <v>67</v>
      </c>
      <c r="AE414" s="123">
        <v>0</v>
      </c>
      <c r="AF414" s="123">
        <v>0</v>
      </c>
      <c r="AG414" s="123">
        <v>0</v>
      </c>
      <c r="AH414" s="123">
        <v>0</v>
      </c>
      <c r="AI414" s="123">
        <v>0</v>
      </c>
      <c r="AJ414" s="123">
        <v>0</v>
      </c>
      <c r="AK414" s="123">
        <v>0</v>
      </c>
      <c r="AL414" s="398"/>
    </row>
    <row r="415" spans="1:38" ht="24.95" customHeight="1">
      <c r="A415" s="26">
        <v>3</v>
      </c>
      <c r="B415" s="27" t="s">
        <v>68</v>
      </c>
      <c r="C415" s="437">
        <v>0</v>
      </c>
      <c r="D415" s="437">
        <v>0</v>
      </c>
      <c r="E415" s="437">
        <v>0</v>
      </c>
      <c r="F415" s="437">
        <v>0</v>
      </c>
      <c r="G415" s="437">
        <v>0</v>
      </c>
      <c r="H415" s="437">
        <v>0</v>
      </c>
      <c r="I415" s="437">
        <v>0</v>
      </c>
      <c r="J415" s="124"/>
      <c r="K415" s="380"/>
      <c r="O415" s="26">
        <v>3</v>
      </c>
      <c r="P415" s="27" t="s">
        <v>68</v>
      </c>
      <c r="Q415" s="437">
        <v>0</v>
      </c>
      <c r="R415" s="437">
        <v>0</v>
      </c>
      <c r="S415" s="437">
        <v>0</v>
      </c>
      <c r="T415" s="437">
        <v>0</v>
      </c>
      <c r="U415" s="437">
        <v>0</v>
      </c>
      <c r="V415" s="437">
        <v>0</v>
      </c>
      <c r="W415" s="437">
        <v>0</v>
      </c>
      <c r="X415" s="124"/>
      <c r="AC415" s="26">
        <v>3</v>
      </c>
      <c r="AD415" s="27" t="s">
        <v>68</v>
      </c>
      <c r="AE415" s="437">
        <v>0</v>
      </c>
      <c r="AF415" s="437">
        <v>0</v>
      </c>
      <c r="AG415" s="437">
        <v>0</v>
      </c>
      <c r="AH415" s="437">
        <v>0</v>
      </c>
      <c r="AI415" s="437">
        <v>0</v>
      </c>
      <c r="AJ415" s="437">
        <v>0</v>
      </c>
      <c r="AK415" s="437">
        <v>0</v>
      </c>
      <c r="AL415" s="398"/>
    </row>
    <row r="416" spans="1:38" ht="24.95" customHeight="1">
      <c r="A416" s="26">
        <v>4</v>
      </c>
      <c r="B416" s="438" t="s">
        <v>69</v>
      </c>
      <c r="C416" s="544">
        <v>0</v>
      </c>
      <c r="D416" s="544">
        <v>0</v>
      </c>
      <c r="E416" s="544">
        <v>0</v>
      </c>
      <c r="F416" s="544">
        <v>0</v>
      </c>
      <c r="G416" s="544">
        <v>0</v>
      </c>
      <c r="H416" s="544">
        <v>0</v>
      </c>
      <c r="I416" s="544">
        <v>0</v>
      </c>
      <c r="J416" s="124"/>
      <c r="K416" s="380"/>
      <c r="O416" s="26">
        <v>4</v>
      </c>
      <c r="P416" s="438" t="s">
        <v>69</v>
      </c>
      <c r="Q416" s="544">
        <v>0</v>
      </c>
      <c r="R416" s="544">
        <v>0</v>
      </c>
      <c r="S416" s="544">
        <v>0</v>
      </c>
      <c r="T416" s="544">
        <v>0</v>
      </c>
      <c r="U416" s="544">
        <v>0</v>
      </c>
      <c r="V416" s="544">
        <v>0</v>
      </c>
      <c r="W416" s="544">
        <v>0</v>
      </c>
      <c r="X416" s="124"/>
      <c r="Z416" s="273"/>
      <c r="AC416" s="26">
        <v>4</v>
      </c>
      <c r="AD416" s="27" t="s">
        <v>69</v>
      </c>
      <c r="AE416" s="544" t="s">
        <v>20</v>
      </c>
      <c r="AF416" s="328" t="s">
        <v>20</v>
      </c>
      <c r="AG416" s="549" t="s">
        <v>20</v>
      </c>
      <c r="AH416" s="328" t="str">
        <f>AG416</f>
        <v>-</v>
      </c>
      <c r="AI416" s="421" t="s">
        <v>20</v>
      </c>
      <c r="AJ416" s="123" t="s">
        <v>20</v>
      </c>
      <c r="AK416" s="123">
        <v>0</v>
      </c>
      <c r="AL416" s="398"/>
    </row>
    <row r="417" spans="1:38" ht="24.95" customHeight="1">
      <c r="A417" s="26">
        <v>5</v>
      </c>
      <c r="B417" s="308" t="s">
        <v>70</v>
      </c>
      <c r="C417" s="123">
        <f>0+3</f>
        <v>3</v>
      </c>
      <c r="D417" s="123">
        <v>1</v>
      </c>
      <c r="E417" s="123">
        <f>28-3-3</f>
        <v>22</v>
      </c>
      <c r="F417" s="123">
        <f>E417+D417+C417</f>
        <v>26</v>
      </c>
      <c r="G417" s="421">
        <f>H417/1000*D417</f>
        <v>0.21</v>
      </c>
      <c r="H417" s="123">
        <v>210</v>
      </c>
      <c r="I417" s="123">
        <f>105-1</f>
        <v>104</v>
      </c>
      <c r="J417" s="124">
        <f>F417-T417</f>
        <v>0</v>
      </c>
      <c r="K417" s="380">
        <f>C417-Q417</f>
        <v>0</v>
      </c>
      <c r="L417" s="380">
        <f t="shared" ref="L417:M417" si="181">D417-R417</f>
        <v>0</v>
      </c>
      <c r="M417" s="380">
        <f t="shared" si="181"/>
        <v>0</v>
      </c>
      <c r="N417" s="273">
        <f>I417-W417</f>
        <v>0</v>
      </c>
      <c r="O417" s="26">
        <v>5</v>
      </c>
      <c r="P417" s="32" t="s">
        <v>70</v>
      </c>
      <c r="Q417" s="123">
        <f>0+3</f>
        <v>3</v>
      </c>
      <c r="R417" s="123">
        <v>1</v>
      </c>
      <c r="S417" s="123">
        <f>28-3-3</f>
        <v>22</v>
      </c>
      <c r="T417" s="123">
        <f>S417+R417+Q417</f>
        <v>26</v>
      </c>
      <c r="U417" s="421">
        <f>V417/1000*R417</f>
        <v>0.21</v>
      </c>
      <c r="V417" s="123">
        <v>210</v>
      </c>
      <c r="W417" s="123">
        <f>105-1</f>
        <v>104</v>
      </c>
      <c r="X417" s="124"/>
      <c r="AC417" s="26">
        <v>5</v>
      </c>
      <c r="AD417" s="32" t="s">
        <v>70</v>
      </c>
      <c r="AE417" s="123">
        <v>0</v>
      </c>
      <c r="AF417" s="123">
        <v>1</v>
      </c>
      <c r="AG417" s="123">
        <v>28</v>
      </c>
      <c r="AH417" s="123">
        <f>AG417+AF417</f>
        <v>29</v>
      </c>
      <c r="AI417" s="421">
        <f>AJ417/1000*AF417</f>
        <v>0.20799999999999999</v>
      </c>
      <c r="AJ417" s="123">
        <v>208</v>
      </c>
      <c r="AK417" s="123">
        <v>105</v>
      </c>
      <c r="AL417" s="398"/>
    </row>
    <row r="418" spans="1:38" ht="24.95" customHeight="1">
      <c r="A418" s="26">
        <v>6</v>
      </c>
      <c r="B418" s="27" t="s">
        <v>71</v>
      </c>
      <c r="C418" s="123">
        <v>0</v>
      </c>
      <c r="D418" s="123">
        <v>0</v>
      </c>
      <c r="E418" s="123">
        <v>0</v>
      </c>
      <c r="F418" s="123">
        <v>0</v>
      </c>
      <c r="G418" s="123">
        <v>0</v>
      </c>
      <c r="H418" s="123">
        <v>0</v>
      </c>
      <c r="I418" s="123">
        <v>0</v>
      </c>
      <c r="J418" s="124"/>
      <c r="K418" s="380"/>
      <c r="O418" s="26">
        <v>6</v>
      </c>
      <c r="P418" s="27" t="s">
        <v>71</v>
      </c>
      <c r="Q418" s="123">
        <v>0</v>
      </c>
      <c r="R418" s="123">
        <v>0</v>
      </c>
      <c r="S418" s="123">
        <v>0</v>
      </c>
      <c r="T418" s="123">
        <v>0</v>
      </c>
      <c r="U418" s="123">
        <v>0</v>
      </c>
      <c r="V418" s="123">
        <v>0</v>
      </c>
      <c r="W418" s="123">
        <v>0</v>
      </c>
      <c r="X418" s="124"/>
      <c r="AC418" s="26">
        <v>6</v>
      </c>
      <c r="AD418" s="27" t="s">
        <v>71</v>
      </c>
      <c r="AE418" s="123">
        <v>0</v>
      </c>
      <c r="AF418" s="123">
        <v>0</v>
      </c>
      <c r="AG418" s="123">
        <v>0</v>
      </c>
      <c r="AH418" s="123">
        <v>0</v>
      </c>
      <c r="AI418" s="123">
        <v>0</v>
      </c>
      <c r="AJ418" s="123">
        <v>0</v>
      </c>
      <c r="AK418" s="123">
        <v>0</v>
      </c>
      <c r="AL418" s="398"/>
    </row>
    <row r="419" spans="1:38" ht="24.95" customHeight="1">
      <c r="A419" s="26">
        <v>7</v>
      </c>
      <c r="B419" s="27" t="s">
        <v>72</v>
      </c>
      <c r="C419" s="123">
        <v>0</v>
      </c>
      <c r="D419" s="123">
        <v>0</v>
      </c>
      <c r="E419" s="123">
        <v>0</v>
      </c>
      <c r="F419" s="123">
        <v>0</v>
      </c>
      <c r="G419" s="123">
        <v>0</v>
      </c>
      <c r="H419" s="123">
        <v>0</v>
      </c>
      <c r="I419" s="123">
        <v>0</v>
      </c>
      <c r="J419" s="124"/>
      <c r="K419" s="380"/>
      <c r="O419" s="26">
        <v>7</v>
      </c>
      <c r="P419" s="27" t="s">
        <v>72</v>
      </c>
      <c r="Q419" s="123">
        <v>0</v>
      </c>
      <c r="R419" s="123">
        <v>0</v>
      </c>
      <c r="S419" s="123">
        <v>0</v>
      </c>
      <c r="T419" s="123">
        <v>0</v>
      </c>
      <c r="U419" s="123">
        <v>0</v>
      </c>
      <c r="V419" s="123">
        <v>0</v>
      </c>
      <c r="W419" s="123">
        <v>0</v>
      </c>
      <c r="X419" s="124"/>
      <c r="AC419" s="26">
        <v>7</v>
      </c>
      <c r="AD419" s="27" t="s">
        <v>72</v>
      </c>
      <c r="AE419" s="123">
        <v>0</v>
      </c>
      <c r="AF419" s="123">
        <v>0</v>
      </c>
      <c r="AG419" s="123">
        <v>0</v>
      </c>
      <c r="AH419" s="123">
        <v>0</v>
      </c>
      <c r="AI419" s="123">
        <v>0</v>
      </c>
      <c r="AJ419" s="123">
        <v>0</v>
      </c>
      <c r="AK419" s="123">
        <v>0</v>
      </c>
      <c r="AL419" s="398"/>
    </row>
    <row r="420" spans="1:38" ht="24.95" customHeight="1">
      <c r="A420" s="26">
        <v>8</v>
      </c>
      <c r="B420" s="27" t="s">
        <v>73</v>
      </c>
      <c r="C420" s="123">
        <v>0</v>
      </c>
      <c r="D420" s="123">
        <v>0</v>
      </c>
      <c r="E420" s="123">
        <v>0</v>
      </c>
      <c r="F420" s="123">
        <v>0</v>
      </c>
      <c r="G420" s="123">
        <v>0</v>
      </c>
      <c r="H420" s="123">
        <v>0</v>
      </c>
      <c r="I420" s="123">
        <v>0</v>
      </c>
      <c r="J420" s="124"/>
      <c r="K420" s="380"/>
      <c r="O420" s="26">
        <v>8</v>
      </c>
      <c r="P420" s="27" t="s">
        <v>73</v>
      </c>
      <c r="Q420" s="123">
        <v>0</v>
      </c>
      <c r="R420" s="123">
        <v>0</v>
      </c>
      <c r="S420" s="123">
        <v>0</v>
      </c>
      <c r="T420" s="123">
        <v>0</v>
      </c>
      <c r="U420" s="123">
        <v>0</v>
      </c>
      <c r="V420" s="123">
        <v>0</v>
      </c>
      <c r="W420" s="123">
        <v>0</v>
      </c>
      <c r="X420" s="124"/>
      <c r="AC420" s="26">
        <v>8</v>
      </c>
      <c r="AD420" s="27" t="s">
        <v>73</v>
      </c>
      <c r="AE420" s="123">
        <v>0</v>
      </c>
      <c r="AF420" s="123">
        <v>0</v>
      </c>
      <c r="AG420" s="123">
        <v>0</v>
      </c>
      <c r="AH420" s="123">
        <v>0</v>
      </c>
      <c r="AI420" s="123">
        <v>0</v>
      </c>
      <c r="AJ420" s="123">
        <v>0</v>
      </c>
      <c r="AK420" s="123">
        <v>0</v>
      </c>
      <c r="AL420" s="398"/>
    </row>
    <row r="421" spans="1:38" ht="24.95" customHeight="1">
      <c r="A421" s="26">
        <v>9</v>
      </c>
      <c r="B421" s="27" t="s">
        <v>74</v>
      </c>
      <c r="C421" s="123">
        <v>0</v>
      </c>
      <c r="D421" s="123">
        <v>0</v>
      </c>
      <c r="E421" s="123">
        <v>0</v>
      </c>
      <c r="F421" s="123">
        <v>0</v>
      </c>
      <c r="G421" s="123">
        <v>0</v>
      </c>
      <c r="H421" s="123">
        <v>0</v>
      </c>
      <c r="I421" s="123">
        <v>0</v>
      </c>
      <c r="J421" s="124"/>
      <c r="K421" s="380"/>
      <c r="O421" s="26">
        <v>9</v>
      </c>
      <c r="P421" s="27" t="s">
        <v>74</v>
      </c>
      <c r="Q421" s="123">
        <v>0</v>
      </c>
      <c r="R421" s="123">
        <v>0</v>
      </c>
      <c r="S421" s="123">
        <v>0</v>
      </c>
      <c r="T421" s="123">
        <v>0</v>
      </c>
      <c r="U421" s="123">
        <v>0</v>
      </c>
      <c r="V421" s="123">
        <v>0</v>
      </c>
      <c r="W421" s="123">
        <v>0</v>
      </c>
      <c r="X421" s="124"/>
      <c r="AC421" s="26">
        <v>9</v>
      </c>
      <c r="AD421" s="27" t="s">
        <v>74</v>
      </c>
      <c r="AE421" s="123">
        <v>0</v>
      </c>
      <c r="AF421" s="123">
        <v>0</v>
      </c>
      <c r="AG421" s="123">
        <v>0</v>
      </c>
      <c r="AH421" s="123">
        <v>0</v>
      </c>
      <c r="AI421" s="123">
        <v>0</v>
      </c>
      <c r="AJ421" s="123">
        <v>0</v>
      </c>
      <c r="AK421" s="123">
        <v>0</v>
      </c>
      <c r="AL421" s="398"/>
    </row>
    <row r="422" spans="1:38" ht="24.95" customHeight="1">
      <c r="A422" s="26">
        <v>10</v>
      </c>
      <c r="B422" s="27" t="s">
        <v>75</v>
      </c>
      <c r="C422" s="123">
        <v>0</v>
      </c>
      <c r="D422" s="123">
        <v>0</v>
      </c>
      <c r="E422" s="123">
        <v>0</v>
      </c>
      <c r="F422" s="123">
        <v>0</v>
      </c>
      <c r="G422" s="123">
        <v>0</v>
      </c>
      <c r="H422" s="123">
        <v>0</v>
      </c>
      <c r="I422" s="123">
        <v>0</v>
      </c>
      <c r="J422" s="124"/>
      <c r="K422" s="380"/>
      <c r="O422" s="26">
        <v>10</v>
      </c>
      <c r="P422" s="27" t="s">
        <v>75</v>
      </c>
      <c r="Q422" s="123">
        <v>0</v>
      </c>
      <c r="R422" s="123">
        <v>0</v>
      </c>
      <c r="S422" s="123">
        <v>0</v>
      </c>
      <c r="T422" s="123">
        <v>0</v>
      </c>
      <c r="U422" s="123">
        <v>0</v>
      </c>
      <c r="V422" s="123">
        <v>0</v>
      </c>
      <c r="W422" s="123">
        <v>0</v>
      </c>
      <c r="X422" s="124"/>
      <c r="AC422" s="26">
        <v>10</v>
      </c>
      <c r="AD422" s="27" t="s">
        <v>75</v>
      </c>
      <c r="AE422" s="123">
        <v>0</v>
      </c>
      <c r="AF422" s="123">
        <v>0</v>
      </c>
      <c r="AG422" s="123">
        <v>0</v>
      </c>
      <c r="AH422" s="123">
        <v>0</v>
      </c>
      <c r="AI422" s="123">
        <v>0</v>
      </c>
      <c r="AJ422" s="123">
        <v>0</v>
      </c>
      <c r="AK422" s="123">
        <v>0</v>
      </c>
      <c r="AL422" s="398"/>
    </row>
    <row r="423" spans="1:38" ht="24.95" customHeight="1" thickBot="1">
      <c r="A423" s="26">
        <v>11</v>
      </c>
      <c r="B423" s="35" t="s">
        <v>76</v>
      </c>
      <c r="C423" s="439">
        <v>0</v>
      </c>
      <c r="D423" s="439">
        <v>0</v>
      </c>
      <c r="E423" s="439">
        <v>0</v>
      </c>
      <c r="F423" s="439">
        <v>0</v>
      </c>
      <c r="G423" s="439">
        <v>0</v>
      </c>
      <c r="H423" s="439">
        <v>0</v>
      </c>
      <c r="I423" s="439">
        <v>0</v>
      </c>
      <c r="J423" s="443"/>
      <c r="K423" s="380"/>
      <c r="O423" s="26">
        <v>11</v>
      </c>
      <c r="P423" s="35" t="s">
        <v>76</v>
      </c>
      <c r="Q423" s="123">
        <v>0</v>
      </c>
      <c r="R423" s="123">
        <v>0</v>
      </c>
      <c r="S423" s="123">
        <v>0</v>
      </c>
      <c r="T423" s="123">
        <v>0</v>
      </c>
      <c r="U423" s="123">
        <v>0</v>
      </c>
      <c r="V423" s="123">
        <v>0</v>
      </c>
      <c r="W423" s="123">
        <v>0</v>
      </c>
      <c r="X423" s="443"/>
      <c r="AC423" s="26">
        <v>11</v>
      </c>
      <c r="AD423" s="35" t="s">
        <v>76</v>
      </c>
      <c r="AE423" s="439">
        <v>0</v>
      </c>
      <c r="AF423" s="439">
        <v>0</v>
      </c>
      <c r="AG423" s="439">
        <v>0</v>
      </c>
      <c r="AH423" s="439">
        <v>0</v>
      </c>
      <c r="AI423" s="439">
        <v>0</v>
      </c>
      <c r="AJ423" s="439">
        <v>0</v>
      </c>
      <c r="AK423" s="439">
        <v>0</v>
      </c>
      <c r="AL423" s="444"/>
    </row>
    <row r="424" spans="1:38" ht="24.95" customHeight="1" thickTop="1" thickBot="1">
      <c r="A424" s="664" t="s">
        <v>77</v>
      </c>
      <c r="B424" s="665"/>
      <c r="C424" s="384">
        <f>SUM(C413:C423)</f>
        <v>3</v>
      </c>
      <c r="D424" s="317">
        <f>SUM(D413:D423)</f>
        <v>1</v>
      </c>
      <c r="E424" s="393">
        <f>SUM(E413:E423)</f>
        <v>22</v>
      </c>
      <c r="F424" s="440">
        <f>SUM(F413:F423)</f>
        <v>26</v>
      </c>
      <c r="G424" s="441">
        <f>SUM(G413:G423)</f>
        <v>0.21</v>
      </c>
      <c r="H424" s="317">
        <f>H417</f>
        <v>210</v>
      </c>
      <c r="I424" s="317">
        <f>SUM(I413:I423)</f>
        <v>104</v>
      </c>
      <c r="J424" s="383">
        <f>SUM(J413:J423)</f>
        <v>0</v>
      </c>
      <c r="K424" s="380">
        <f>SUM(K413:K423)</f>
        <v>0</v>
      </c>
      <c r="L424" s="380">
        <f t="shared" ref="L424:N424" si="182">SUM(L413:L423)</f>
        <v>0</v>
      </c>
      <c r="M424" s="380">
        <f t="shared" si="182"/>
        <v>0</v>
      </c>
      <c r="N424" s="380">
        <f t="shared" si="182"/>
        <v>0</v>
      </c>
      <c r="O424" s="664" t="s">
        <v>77</v>
      </c>
      <c r="P424" s="665"/>
      <c r="Q424" s="384">
        <f>SUM(Q413:Q423)</f>
        <v>3</v>
      </c>
      <c r="R424" s="317">
        <f>SUM(R413:R423)</f>
        <v>1</v>
      </c>
      <c r="S424" s="393">
        <f>SUM(S413:S423)</f>
        <v>22</v>
      </c>
      <c r="T424" s="440">
        <f>SUM(T413:T423)</f>
        <v>26</v>
      </c>
      <c r="U424" s="441">
        <f>SUM(U413:U423)</f>
        <v>0.21</v>
      </c>
      <c r="V424" s="317">
        <f>V417</f>
        <v>210</v>
      </c>
      <c r="W424" s="317">
        <f>SUM(W413:W423)</f>
        <v>104</v>
      </c>
      <c r="X424" s="383"/>
      <c r="AC424" s="664" t="s">
        <v>77</v>
      </c>
      <c r="AD424" s="665"/>
      <c r="AE424" s="384">
        <f>SUM(AE413:AE423)</f>
        <v>0</v>
      </c>
      <c r="AF424" s="317">
        <f>SUM(AF413:AF423)</f>
        <v>1</v>
      </c>
      <c r="AG424" s="393">
        <f>SUM(AG413:AG423)</f>
        <v>28</v>
      </c>
      <c r="AH424" s="440">
        <f>SUM(AH413:AH423)</f>
        <v>29</v>
      </c>
      <c r="AI424" s="441">
        <f>SUM(AI413:AI423)</f>
        <v>0.20799999999999999</v>
      </c>
      <c r="AJ424" s="317">
        <v>208</v>
      </c>
      <c r="AK424" s="317">
        <f>SUM(AK413:AK423)</f>
        <v>105</v>
      </c>
      <c r="AL424" s="432"/>
    </row>
    <row r="425" spans="1:38" ht="24.95" customHeight="1">
      <c r="C425" s="273">
        <f>C424-Q424</f>
        <v>0</v>
      </c>
      <c r="D425" s="273">
        <f t="shared" ref="D425:I425" si="183">D424-R424</f>
        <v>0</v>
      </c>
      <c r="E425" s="273">
        <f t="shared" si="183"/>
        <v>0</v>
      </c>
      <c r="F425" s="273">
        <f t="shared" si="183"/>
        <v>0</v>
      </c>
      <c r="G425" s="273">
        <f t="shared" si="183"/>
        <v>0</v>
      </c>
      <c r="H425" s="273">
        <f t="shared" si="183"/>
        <v>0</v>
      </c>
      <c r="I425" s="273">
        <f t="shared" si="183"/>
        <v>0</v>
      </c>
      <c r="R425" s="273">
        <f>R424-AF424</f>
        <v>0</v>
      </c>
      <c r="S425" s="276">
        <f>S424-AG424</f>
        <v>-6</v>
      </c>
      <c r="T425" s="276">
        <f>T424-AH424</f>
        <v>-3</v>
      </c>
      <c r="V425">
        <f>U424/R424*1000</f>
        <v>210</v>
      </c>
      <c r="W425" s="273">
        <f>W424-AK424</f>
        <v>-1</v>
      </c>
    </row>
    <row r="426" spans="1:38" ht="24.95" customHeight="1">
      <c r="B426" s="6" t="s">
        <v>12</v>
      </c>
      <c r="C426" s="320" t="s">
        <v>33</v>
      </c>
      <c r="D426" s="2"/>
      <c r="E426" s="442"/>
      <c r="F426" s="118"/>
      <c r="G426" s="1"/>
      <c r="P426" s="6" t="s">
        <v>12</v>
      </c>
      <c r="Q426" s="320" t="s">
        <v>33</v>
      </c>
      <c r="R426" s="2"/>
      <c r="S426" s="442"/>
      <c r="T426" s="118"/>
      <c r="U426" s="1"/>
      <c r="AD426" s="385"/>
      <c r="AE426" s="118"/>
      <c r="AF426" s="118"/>
      <c r="AG426" s="435"/>
      <c r="AH426" s="118"/>
      <c r="AI426" s="1" t="s">
        <v>104</v>
      </c>
    </row>
    <row r="427" spans="1:38" ht="24.95" customHeight="1">
      <c r="B427" s="6" t="s">
        <v>13</v>
      </c>
      <c r="C427" s="320" t="s">
        <v>34</v>
      </c>
      <c r="D427" s="2"/>
      <c r="E427" s="2"/>
      <c r="G427" s="650"/>
      <c r="H427" s="637"/>
      <c r="I427" s="637"/>
      <c r="J427" s="637"/>
      <c r="K427" s="48"/>
      <c r="P427" s="6" t="s">
        <v>13</v>
      </c>
      <c r="Q427" s="320" t="s">
        <v>34</v>
      </c>
      <c r="R427" s="2"/>
      <c r="S427" s="2"/>
      <c r="U427" s="650"/>
      <c r="V427" s="637"/>
      <c r="W427" s="637"/>
      <c r="X427" s="637"/>
      <c r="AI427" s="266" t="s">
        <v>105</v>
      </c>
      <c r="AJ427" s="323"/>
      <c r="AK427" s="323"/>
      <c r="AL427" s="323"/>
    </row>
    <row r="428" spans="1:38" ht="24.95" customHeight="1">
      <c r="B428" s="6" t="s">
        <v>14</v>
      </c>
      <c r="C428" s="320" t="s">
        <v>35</v>
      </c>
      <c r="D428" s="2"/>
      <c r="E428" s="2"/>
      <c r="G428" s="1"/>
      <c r="P428" s="6" t="s">
        <v>14</v>
      </c>
      <c r="Q428" s="320" t="s">
        <v>35</v>
      </c>
      <c r="R428" s="2"/>
      <c r="S428" s="2"/>
      <c r="U428" s="1"/>
      <c r="AI428" s="1" t="s">
        <v>106</v>
      </c>
    </row>
    <row r="429" spans="1:38" ht="24.95" customHeight="1">
      <c r="G429" s="650"/>
      <c r="H429" s="650"/>
      <c r="I429" s="650"/>
      <c r="J429" s="650"/>
      <c r="K429" s="47"/>
      <c r="U429" s="650"/>
      <c r="V429" s="650"/>
      <c r="W429" s="650"/>
      <c r="X429" s="650"/>
      <c r="AI429" s="650"/>
      <c r="AJ429" s="650"/>
      <c r="AK429" s="650"/>
      <c r="AL429" s="650"/>
    </row>
    <row r="430" spans="1:38" ht="24.95" customHeight="1">
      <c r="G430" s="48"/>
      <c r="H430" s="48"/>
      <c r="I430" s="48"/>
      <c r="J430" s="48"/>
      <c r="K430" s="48"/>
      <c r="U430" s="48"/>
      <c r="V430" s="48"/>
      <c r="W430" s="48"/>
      <c r="X430" s="48"/>
      <c r="AI430" s="48"/>
      <c r="AJ430" s="48"/>
      <c r="AK430" s="48"/>
      <c r="AL430" s="48"/>
    </row>
    <row r="431" spans="1:38" ht="24.95" customHeight="1">
      <c r="G431" s="637"/>
      <c r="H431" s="637"/>
      <c r="I431" s="637"/>
      <c r="J431" s="637"/>
      <c r="K431" s="48"/>
      <c r="U431" s="637"/>
      <c r="V431" s="637"/>
      <c r="W431" s="637"/>
      <c r="X431" s="637"/>
      <c r="AI431" s="637"/>
      <c r="AJ431" s="637"/>
      <c r="AK431" s="637"/>
      <c r="AL431" s="637"/>
    </row>
    <row r="432" spans="1:38" ht="24.95" customHeight="1">
      <c r="G432" s="637"/>
      <c r="H432" s="637"/>
      <c r="I432" s="637"/>
      <c r="J432" s="637"/>
      <c r="K432" s="48"/>
      <c r="U432" s="637"/>
      <c r="V432" s="637"/>
      <c r="W432" s="637"/>
      <c r="X432" s="637"/>
      <c r="AI432" s="637"/>
      <c r="AJ432" s="637"/>
      <c r="AK432" s="637"/>
      <c r="AL432" s="637"/>
    </row>
    <row r="433" spans="1:38" ht="24.95" customHeight="1"/>
    <row r="434" spans="1:38" ht="24.95" customHeight="1"/>
    <row r="435" spans="1:38" ht="24.95" customHeight="1">
      <c r="G435" s="653"/>
      <c r="H435" s="653"/>
      <c r="I435" s="653"/>
      <c r="J435" s="653"/>
      <c r="K435" s="46"/>
      <c r="U435" s="653"/>
      <c r="V435" s="653"/>
      <c r="W435" s="653"/>
      <c r="X435" s="653"/>
      <c r="AI435" s="653"/>
      <c r="AJ435" s="653"/>
      <c r="AK435" s="653"/>
      <c r="AL435" s="653"/>
    </row>
    <row r="436" spans="1:38" ht="24.95" customHeight="1">
      <c r="G436" s="637"/>
      <c r="H436" s="637"/>
      <c r="I436" s="637"/>
      <c r="J436" s="637"/>
      <c r="K436" s="48"/>
      <c r="U436" s="637"/>
      <c r="V436" s="637"/>
      <c r="W436" s="637"/>
      <c r="X436" s="637"/>
      <c r="AI436" s="637"/>
      <c r="AJ436" s="637"/>
      <c r="AK436" s="637"/>
      <c r="AL436" s="637"/>
    </row>
    <row r="437" spans="1:38" ht="24.95" customHeight="1">
      <c r="G437" s="48"/>
      <c r="H437" s="48"/>
      <c r="I437" s="48"/>
      <c r="J437" s="48"/>
      <c r="K437" s="48"/>
      <c r="U437" s="48"/>
      <c r="V437" s="48"/>
      <c r="W437" s="48"/>
      <c r="X437" s="48"/>
      <c r="AI437" s="48"/>
      <c r="AJ437" s="48"/>
      <c r="AK437" s="48"/>
      <c r="AL437" s="48"/>
    </row>
    <row r="438" spans="1:38" ht="24.95" customHeight="1">
      <c r="G438" s="48"/>
      <c r="H438" s="48"/>
      <c r="I438" s="48"/>
      <c r="J438" s="48"/>
      <c r="K438" s="48"/>
      <c r="U438" s="48"/>
      <c r="V438" s="48"/>
      <c r="W438" s="48"/>
      <c r="X438" s="48"/>
      <c r="AI438" s="48"/>
      <c r="AJ438" s="48"/>
      <c r="AK438" s="48"/>
      <c r="AL438" s="48"/>
    </row>
    <row r="439" spans="1:38" ht="24.95" customHeight="1">
      <c r="G439" s="48"/>
      <c r="H439" s="48"/>
      <c r="I439" s="48"/>
      <c r="J439" s="48"/>
      <c r="K439" s="48"/>
      <c r="U439" s="48"/>
      <c r="V439" s="48"/>
      <c r="W439" s="48"/>
      <c r="X439" s="48"/>
      <c r="AI439" s="48"/>
      <c r="AJ439" s="48"/>
      <c r="AK439" s="48"/>
      <c r="AL439" s="48"/>
    </row>
    <row r="440" spans="1:38" ht="24.95" customHeight="1">
      <c r="G440" s="48"/>
      <c r="H440" s="48"/>
      <c r="I440" s="48"/>
      <c r="J440" s="48"/>
      <c r="K440" s="48"/>
      <c r="U440" s="48"/>
      <c r="V440" s="48"/>
      <c r="W440" s="48"/>
      <c r="X440" s="48"/>
      <c r="AI440" s="48"/>
      <c r="AJ440" s="48"/>
      <c r="AK440" s="48"/>
      <c r="AL440" s="48"/>
    </row>
    <row r="441" spans="1:38" ht="24.95" customHeight="1">
      <c r="G441" s="48"/>
      <c r="H441" s="48"/>
      <c r="I441" s="48"/>
      <c r="J441" s="48"/>
      <c r="K441" s="48"/>
      <c r="U441" s="48"/>
      <c r="V441" s="48"/>
      <c r="W441" s="48"/>
      <c r="X441" s="48"/>
      <c r="AI441" s="48"/>
      <c r="AJ441" s="48"/>
      <c r="AK441" s="48"/>
      <c r="AL441" s="48"/>
    </row>
    <row r="442" spans="1:38" ht="24.95" customHeight="1">
      <c r="A442" s="632" t="s">
        <v>59</v>
      </c>
      <c r="B442" s="632"/>
      <c r="C442" s="632"/>
      <c r="D442" s="632"/>
      <c r="E442" s="632"/>
      <c r="F442" s="632"/>
      <c r="G442" s="632"/>
      <c r="H442" s="632"/>
      <c r="I442" s="632"/>
      <c r="J442" s="632"/>
      <c r="K442" s="296"/>
      <c r="O442" s="632" t="s">
        <v>59</v>
      </c>
      <c r="P442" s="632"/>
      <c r="Q442" s="632"/>
      <c r="R442" s="632"/>
      <c r="S442" s="632"/>
      <c r="T442" s="632"/>
      <c r="U442" s="632"/>
      <c r="V442" s="632"/>
      <c r="W442" s="632"/>
      <c r="X442" s="632"/>
      <c r="AC442" s="663" t="s">
        <v>59</v>
      </c>
      <c r="AD442" s="663"/>
      <c r="AE442" s="663"/>
      <c r="AF442" s="663"/>
      <c r="AG442" s="663"/>
      <c r="AH442" s="663"/>
      <c r="AI442" s="663"/>
      <c r="AJ442" s="663"/>
      <c r="AK442" s="663"/>
      <c r="AL442" s="663"/>
    </row>
    <row r="443" spans="1:38" ht="24.95" customHeight="1">
      <c r="A443" s="632" t="s">
        <v>1</v>
      </c>
      <c r="B443" s="632"/>
      <c r="C443" s="632"/>
      <c r="D443" s="632"/>
      <c r="E443" s="632"/>
      <c r="F443" s="632"/>
      <c r="G443" s="632"/>
      <c r="H443" s="632"/>
      <c r="I443" s="632"/>
      <c r="J443" s="632"/>
      <c r="K443" s="296"/>
      <c r="O443" s="632" t="s">
        <v>1</v>
      </c>
      <c r="P443" s="632"/>
      <c r="Q443" s="632"/>
      <c r="R443" s="632"/>
      <c r="S443" s="632"/>
      <c r="T443" s="632"/>
      <c r="U443" s="632"/>
      <c r="V443" s="632"/>
      <c r="W443" s="632"/>
      <c r="X443" s="632"/>
      <c r="AC443" s="663" t="s">
        <v>1</v>
      </c>
      <c r="AD443" s="663"/>
      <c r="AE443" s="663"/>
      <c r="AF443" s="663"/>
      <c r="AG443" s="663"/>
      <c r="AH443" s="663"/>
      <c r="AI443" s="663"/>
      <c r="AJ443" s="663"/>
      <c r="AK443" s="663"/>
      <c r="AL443" s="663"/>
    </row>
    <row r="444" spans="1:38" ht="24.95" customHeight="1">
      <c r="A444" s="632" t="s">
        <v>206</v>
      </c>
      <c r="B444" s="632"/>
      <c r="C444" s="632"/>
      <c r="D444" s="632"/>
      <c r="E444" s="632"/>
      <c r="F444" s="632"/>
      <c r="G444" s="632"/>
      <c r="H444" s="632"/>
      <c r="I444" s="632"/>
      <c r="J444" s="632"/>
      <c r="K444" s="623"/>
      <c r="O444" s="632" t="s">
        <v>60</v>
      </c>
      <c r="P444" s="632"/>
      <c r="Q444" s="632"/>
      <c r="R444" s="632"/>
      <c r="S444" s="632"/>
      <c r="T444" s="632"/>
      <c r="U444" s="632"/>
      <c r="V444" s="632"/>
      <c r="W444" s="632"/>
      <c r="X444" s="632"/>
      <c r="AC444" s="663" t="s">
        <v>107</v>
      </c>
      <c r="AD444" s="663"/>
      <c r="AE444" s="663"/>
      <c r="AF444" s="663"/>
      <c r="AG444" s="663"/>
      <c r="AH444" s="663"/>
      <c r="AI444" s="663"/>
      <c r="AJ444" s="663"/>
      <c r="AK444" s="663"/>
      <c r="AL444" s="663"/>
    </row>
    <row r="445" spans="1:38" ht="24.95" customHeight="1"/>
    <row r="446" spans="1:38" ht="24.95" customHeight="1">
      <c r="A446" t="s">
        <v>61</v>
      </c>
      <c r="C446" t="s">
        <v>24</v>
      </c>
      <c r="O446" t="s">
        <v>61</v>
      </c>
      <c r="Q446" t="s">
        <v>24</v>
      </c>
      <c r="AC446" t="s">
        <v>61</v>
      </c>
      <c r="AE446" t="s">
        <v>24</v>
      </c>
    </row>
    <row r="447" spans="1:38" ht="24.95" customHeight="1">
      <c r="A447" s="1"/>
      <c r="E447" s="1"/>
      <c r="O447" s="1"/>
      <c r="S447" s="1"/>
      <c r="AC447" s="1"/>
      <c r="AG447" s="1"/>
    </row>
    <row r="448" spans="1:38" ht="24.95" customHeight="1">
      <c r="A448" s="297" t="s">
        <v>4</v>
      </c>
      <c r="B448" s="298" t="s">
        <v>63</v>
      </c>
      <c r="C448" s="298" t="s">
        <v>12</v>
      </c>
      <c r="D448" s="298" t="s">
        <v>13</v>
      </c>
      <c r="E448" s="298" t="s">
        <v>14</v>
      </c>
      <c r="F448" s="299" t="s">
        <v>79</v>
      </c>
      <c r="G448" s="299" t="s">
        <v>8</v>
      </c>
      <c r="H448" s="299" t="s">
        <v>9</v>
      </c>
      <c r="I448" s="299" t="s">
        <v>10</v>
      </c>
      <c r="J448" s="330" t="s">
        <v>11</v>
      </c>
      <c r="K448" s="430"/>
      <c r="O448" s="297" t="s">
        <v>4</v>
      </c>
      <c r="P448" s="298" t="s">
        <v>63</v>
      </c>
      <c r="Q448" s="298" t="s">
        <v>12</v>
      </c>
      <c r="R448" s="298" t="s">
        <v>13</v>
      </c>
      <c r="S448" s="298" t="s">
        <v>14</v>
      </c>
      <c r="T448" s="299" t="s">
        <v>79</v>
      </c>
      <c r="U448" s="299" t="s">
        <v>8</v>
      </c>
      <c r="V448" s="299" t="s">
        <v>9</v>
      </c>
      <c r="W448" s="299" t="s">
        <v>10</v>
      </c>
      <c r="X448" s="330" t="s">
        <v>11</v>
      </c>
      <c r="Z448" s="357" t="s">
        <v>103</v>
      </c>
      <c r="AC448" s="297" t="s">
        <v>4</v>
      </c>
      <c r="AD448" s="298" t="s">
        <v>63</v>
      </c>
      <c r="AE448" s="298" t="s">
        <v>12</v>
      </c>
      <c r="AF448" s="298" t="s">
        <v>13</v>
      </c>
      <c r="AG448" s="298" t="s">
        <v>14</v>
      </c>
      <c r="AH448" s="299" t="s">
        <v>79</v>
      </c>
      <c r="AI448" s="299" t="s">
        <v>8</v>
      </c>
      <c r="AJ448" s="299" t="s">
        <v>9</v>
      </c>
      <c r="AK448" s="299" t="s">
        <v>10</v>
      </c>
      <c r="AL448" s="330" t="s">
        <v>11</v>
      </c>
    </row>
    <row r="449" spans="1:38" ht="24.95" customHeight="1">
      <c r="A449" s="300">
        <v>1</v>
      </c>
      <c r="B449" s="301">
        <v>2</v>
      </c>
      <c r="C449" s="301">
        <v>3</v>
      </c>
      <c r="D449" s="301">
        <v>4</v>
      </c>
      <c r="E449" s="301">
        <v>5</v>
      </c>
      <c r="F449" s="301">
        <v>6</v>
      </c>
      <c r="G449" s="301">
        <v>7</v>
      </c>
      <c r="H449" s="301">
        <v>8</v>
      </c>
      <c r="I449" s="301">
        <v>9</v>
      </c>
      <c r="J449" s="333">
        <v>10</v>
      </c>
      <c r="K449" s="334" t="s">
        <v>12</v>
      </c>
      <c r="L449" s="1" t="s">
        <v>13</v>
      </c>
      <c r="M449" s="1" t="s">
        <v>14</v>
      </c>
      <c r="N449" s="1" t="s">
        <v>65</v>
      </c>
      <c r="O449" s="300">
        <v>1</v>
      </c>
      <c r="P449" s="301">
        <v>2</v>
      </c>
      <c r="Q449" s="301">
        <v>3</v>
      </c>
      <c r="R449" s="301">
        <v>4</v>
      </c>
      <c r="S449" s="301">
        <v>5</v>
      </c>
      <c r="T449" s="301">
        <v>6</v>
      </c>
      <c r="U449" s="301">
        <v>7</v>
      </c>
      <c r="V449" s="301">
        <v>8</v>
      </c>
      <c r="W449" s="301">
        <v>9</v>
      </c>
      <c r="X449" s="333">
        <v>10</v>
      </c>
      <c r="AC449" s="300">
        <v>1</v>
      </c>
      <c r="AD449" s="301">
        <v>2</v>
      </c>
      <c r="AE449" s="301">
        <v>3</v>
      </c>
      <c r="AF449" s="301">
        <v>4</v>
      </c>
      <c r="AG449" s="301">
        <v>5</v>
      </c>
      <c r="AH449" s="301">
        <v>6</v>
      </c>
      <c r="AI449" s="301">
        <v>7</v>
      </c>
      <c r="AJ449" s="301">
        <v>8</v>
      </c>
      <c r="AK449" s="301">
        <v>9</v>
      </c>
      <c r="AL449" s="333">
        <v>10</v>
      </c>
    </row>
    <row r="450" spans="1:38" ht="24.95" customHeight="1">
      <c r="A450" s="16">
        <v>1</v>
      </c>
      <c r="B450" s="17" t="s">
        <v>82</v>
      </c>
      <c r="C450" s="445" t="s">
        <v>20</v>
      </c>
      <c r="D450" s="445" t="s">
        <v>20</v>
      </c>
      <c r="E450" s="445" t="s">
        <v>20</v>
      </c>
      <c r="F450" s="445" t="s">
        <v>20</v>
      </c>
      <c r="G450" s="445" t="s">
        <v>20</v>
      </c>
      <c r="H450" s="445" t="s">
        <v>20</v>
      </c>
      <c r="I450" s="445" t="s">
        <v>20</v>
      </c>
      <c r="J450" s="449"/>
      <c r="K450" s="450"/>
      <c r="O450" s="16">
        <v>1</v>
      </c>
      <c r="P450" s="17" t="s">
        <v>82</v>
      </c>
      <c r="Q450" s="445">
        <v>0</v>
      </c>
      <c r="R450" s="445">
        <v>0</v>
      </c>
      <c r="S450" s="445">
        <v>0</v>
      </c>
      <c r="T450" s="445">
        <v>0</v>
      </c>
      <c r="U450" s="445">
        <v>0</v>
      </c>
      <c r="V450" s="445">
        <v>0</v>
      </c>
      <c r="W450" s="445">
        <v>0</v>
      </c>
      <c r="X450" s="449"/>
      <c r="AC450" s="16">
        <v>1</v>
      </c>
      <c r="AD450" s="17" t="s">
        <v>82</v>
      </c>
      <c r="AE450" s="445" t="s">
        <v>20</v>
      </c>
      <c r="AF450" s="445" t="s">
        <v>20</v>
      </c>
      <c r="AG450" s="445" t="s">
        <v>20</v>
      </c>
      <c r="AH450" s="445" t="s">
        <v>20</v>
      </c>
      <c r="AI450" s="445" t="s">
        <v>20</v>
      </c>
      <c r="AJ450" s="445" t="s">
        <v>20</v>
      </c>
      <c r="AK450" s="445" t="s">
        <v>20</v>
      </c>
      <c r="AL450" s="336"/>
    </row>
    <row r="451" spans="1:38" ht="24.95" customHeight="1">
      <c r="A451" s="22">
        <v>2</v>
      </c>
      <c r="B451" s="23" t="s">
        <v>67</v>
      </c>
      <c r="C451" s="92" t="s">
        <v>20</v>
      </c>
      <c r="D451" s="92" t="s">
        <v>20</v>
      </c>
      <c r="E451" s="92">
        <v>0</v>
      </c>
      <c r="F451" s="92" t="s">
        <v>20</v>
      </c>
      <c r="G451" s="92" t="s">
        <v>20</v>
      </c>
      <c r="H451" s="94" t="s">
        <v>20</v>
      </c>
      <c r="I451" s="92" t="s">
        <v>20</v>
      </c>
      <c r="J451" s="122"/>
      <c r="K451" s="450"/>
      <c r="O451" s="22">
        <v>2</v>
      </c>
      <c r="P451" s="23" t="s">
        <v>67</v>
      </c>
      <c r="Q451" s="92">
        <v>0</v>
      </c>
      <c r="R451" s="92">
        <v>0</v>
      </c>
      <c r="S451" s="92">
        <v>0</v>
      </c>
      <c r="T451" s="92">
        <v>0</v>
      </c>
      <c r="U451" s="92">
        <v>0</v>
      </c>
      <c r="V451" s="92">
        <v>0</v>
      </c>
      <c r="W451" s="92">
        <v>0</v>
      </c>
      <c r="X451" s="122"/>
      <c r="AC451" s="22">
        <v>2</v>
      </c>
      <c r="AD451" s="23" t="s">
        <v>67</v>
      </c>
      <c r="AE451" s="92" t="s">
        <v>20</v>
      </c>
      <c r="AF451" s="92" t="s">
        <v>20</v>
      </c>
      <c r="AG451" s="92">
        <v>0</v>
      </c>
      <c r="AH451" s="92" t="s">
        <v>20</v>
      </c>
      <c r="AI451" s="92" t="s">
        <v>20</v>
      </c>
      <c r="AJ451" s="94" t="s">
        <v>20</v>
      </c>
      <c r="AK451" s="92" t="s">
        <v>20</v>
      </c>
      <c r="AL451" s="398"/>
    </row>
    <row r="452" spans="1:38" ht="24.95" customHeight="1">
      <c r="A452" s="26">
        <v>3</v>
      </c>
      <c r="B452" s="27" t="s">
        <v>68</v>
      </c>
      <c r="C452" s="92" t="s">
        <v>20</v>
      </c>
      <c r="D452" s="92" t="s">
        <v>20</v>
      </c>
      <c r="E452" s="92">
        <v>0</v>
      </c>
      <c r="F452" s="92" t="s">
        <v>20</v>
      </c>
      <c r="G452" s="92" t="s">
        <v>20</v>
      </c>
      <c r="H452" s="94" t="s">
        <v>20</v>
      </c>
      <c r="I452" s="92" t="s">
        <v>20</v>
      </c>
      <c r="J452" s="122"/>
      <c r="K452" s="450"/>
      <c r="O452" s="26">
        <v>3</v>
      </c>
      <c r="P452" s="27" t="s">
        <v>68</v>
      </c>
      <c r="Q452" s="92">
        <v>0</v>
      </c>
      <c r="R452" s="92">
        <v>0</v>
      </c>
      <c r="S452" s="92">
        <v>0</v>
      </c>
      <c r="T452" s="92">
        <v>0</v>
      </c>
      <c r="U452" s="92">
        <v>0</v>
      </c>
      <c r="V452" s="92">
        <v>0</v>
      </c>
      <c r="W452" s="92">
        <v>0</v>
      </c>
      <c r="X452" s="122"/>
      <c r="AC452" s="26">
        <v>3</v>
      </c>
      <c r="AD452" s="27" t="s">
        <v>68</v>
      </c>
      <c r="AE452" s="92" t="s">
        <v>20</v>
      </c>
      <c r="AF452" s="92" t="s">
        <v>20</v>
      </c>
      <c r="AG452" s="92">
        <v>0</v>
      </c>
      <c r="AH452" s="92" t="s">
        <v>20</v>
      </c>
      <c r="AI452" s="92" t="s">
        <v>20</v>
      </c>
      <c r="AJ452" s="94" t="s">
        <v>20</v>
      </c>
      <c r="AK452" s="92" t="s">
        <v>20</v>
      </c>
      <c r="AL452" s="398"/>
    </row>
    <row r="453" spans="1:38" ht="24.95" customHeight="1">
      <c r="A453" s="26">
        <v>4</v>
      </c>
      <c r="B453" s="27" t="s">
        <v>69</v>
      </c>
      <c r="C453" s="92" t="s">
        <v>20</v>
      </c>
      <c r="D453" s="92" t="s">
        <v>20</v>
      </c>
      <c r="E453" s="92">
        <v>0</v>
      </c>
      <c r="F453" s="92" t="s">
        <v>20</v>
      </c>
      <c r="G453" s="92" t="s">
        <v>20</v>
      </c>
      <c r="H453" s="94" t="s">
        <v>20</v>
      </c>
      <c r="I453" s="92" t="s">
        <v>20</v>
      </c>
      <c r="J453" s="122"/>
      <c r="K453" s="450"/>
      <c r="O453" s="26">
        <v>4</v>
      </c>
      <c r="P453" s="27" t="s">
        <v>69</v>
      </c>
      <c r="Q453" s="92">
        <v>0</v>
      </c>
      <c r="R453" s="92">
        <v>0</v>
      </c>
      <c r="S453" s="92">
        <v>0</v>
      </c>
      <c r="T453" s="92">
        <v>0</v>
      </c>
      <c r="U453" s="92">
        <v>0</v>
      </c>
      <c r="V453" s="92">
        <v>0</v>
      </c>
      <c r="W453" s="92">
        <v>0</v>
      </c>
      <c r="X453" s="122"/>
      <c r="AC453" s="26">
        <v>4</v>
      </c>
      <c r="AD453" s="27" t="s">
        <v>69</v>
      </c>
      <c r="AE453" s="92" t="s">
        <v>20</v>
      </c>
      <c r="AF453" s="92" t="s">
        <v>20</v>
      </c>
      <c r="AG453" s="92">
        <v>0</v>
      </c>
      <c r="AH453" s="92" t="s">
        <v>20</v>
      </c>
      <c r="AI453" s="92" t="s">
        <v>20</v>
      </c>
      <c r="AJ453" s="94" t="s">
        <v>20</v>
      </c>
      <c r="AK453" s="92" t="s">
        <v>20</v>
      </c>
      <c r="AL453" s="398"/>
    </row>
    <row r="454" spans="1:38" ht="24.95" customHeight="1">
      <c r="A454" s="26">
        <v>5</v>
      </c>
      <c r="B454" s="609" t="s">
        <v>70</v>
      </c>
      <c r="C454" s="92">
        <f>2+3-2+2</f>
        <v>5</v>
      </c>
      <c r="D454" s="92">
        <v>0</v>
      </c>
      <c r="E454" s="92">
        <v>0</v>
      </c>
      <c r="F454" s="92">
        <f>C454</f>
        <v>5</v>
      </c>
      <c r="G454" s="421">
        <f>H454/1000*D454</f>
        <v>0</v>
      </c>
      <c r="H454" s="123">
        <v>500</v>
      </c>
      <c r="I454" s="92">
        <v>14</v>
      </c>
      <c r="J454" s="122">
        <f>F454-T454</f>
        <v>2</v>
      </c>
      <c r="K454" s="450">
        <f>C454-Q454</f>
        <v>2</v>
      </c>
      <c r="L454" s="450">
        <f t="shared" ref="L454:M454" si="184">D454-R454</f>
        <v>-2</v>
      </c>
      <c r="M454" s="450">
        <f t="shared" si="184"/>
        <v>0</v>
      </c>
      <c r="N454" s="273">
        <f>I454-W454</f>
        <v>0</v>
      </c>
      <c r="O454" s="26">
        <v>5</v>
      </c>
      <c r="P454" s="415" t="s">
        <v>70</v>
      </c>
      <c r="Q454" s="92">
        <f>2+3-2</f>
        <v>3</v>
      </c>
      <c r="R454" s="92">
        <f>2</f>
        <v>2</v>
      </c>
      <c r="S454" s="92">
        <v>0</v>
      </c>
      <c r="T454" s="92">
        <f>Q454</f>
        <v>3</v>
      </c>
      <c r="U454" s="421">
        <f>V454/1000*R454</f>
        <v>1</v>
      </c>
      <c r="V454" s="123">
        <v>500</v>
      </c>
      <c r="W454" s="92">
        <v>14</v>
      </c>
      <c r="X454" s="122"/>
      <c r="AC454" s="26">
        <v>5</v>
      </c>
      <c r="AD454" s="32" t="s">
        <v>70</v>
      </c>
      <c r="AE454" s="92">
        <f>8-4</f>
        <v>4</v>
      </c>
      <c r="AF454" s="92">
        <v>4</v>
      </c>
      <c r="AG454" s="92">
        <v>0</v>
      </c>
      <c r="AH454" s="92">
        <f>AE454</f>
        <v>4</v>
      </c>
      <c r="AI454" s="421">
        <f>AJ454/1000*AF454</f>
        <v>2</v>
      </c>
      <c r="AJ454" s="123">
        <v>500</v>
      </c>
      <c r="AK454" s="92">
        <v>14</v>
      </c>
      <c r="AL454" s="398"/>
    </row>
    <row r="455" spans="1:38" ht="24.95" customHeight="1">
      <c r="A455" s="26">
        <v>6</v>
      </c>
      <c r="B455" s="27" t="s">
        <v>71</v>
      </c>
      <c r="C455" s="92" t="s">
        <v>20</v>
      </c>
      <c r="D455" s="92" t="s">
        <v>20</v>
      </c>
      <c r="E455" s="92">
        <v>0</v>
      </c>
      <c r="F455" s="92" t="s">
        <v>20</v>
      </c>
      <c r="G455" s="92" t="s">
        <v>20</v>
      </c>
      <c r="H455" s="94" t="s">
        <v>20</v>
      </c>
      <c r="I455" s="92" t="s">
        <v>20</v>
      </c>
      <c r="J455" s="122"/>
      <c r="K455" s="450"/>
      <c r="O455" s="26">
        <v>6</v>
      </c>
      <c r="P455" s="27" t="s">
        <v>71</v>
      </c>
      <c r="Q455" s="92">
        <v>0</v>
      </c>
      <c r="R455" s="92">
        <v>0</v>
      </c>
      <c r="S455" s="92">
        <v>0</v>
      </c>
      <c r="T455" s="92">
        <v>0</v>
      </c>
      <c r="U455" s="92">
        <v>0</v>
      </c>
      <c r="V455" s="92">
        <v>0</v>
      </c>
      <c r="W455" s="92">
        <v>0</v>
      </c>
      <c r="X455" s="122"/>
      <c r="AC455" s="26">
        <v>6</v>
      </c>
      <c r="AD455" s="27" t="s">
        <v>71</v>
      </c>
      <c r="AE455" s="92" t="s">
        <v>20</v>
      </c>
      <c r="AF455" s="92" t="s">
        <v>20</v>
      </c>
      <c r="AG455" s="92">
        <v>0</v>
      </c>
      <c r="AH455" s="92" t="s">
        <v>20</v>
      </c>
      <c r="AI455" s="92" t="s">
        <v>20</v>
      </c>
      <c r="AJ455" s="94" t="s">
        <v>20</v>
      </c>
      <c r="AK455" s="92" t="s">
        <v>20</v>
      </c>
      <c r="AL455" s="398"/>
    </row>
    <row r="456" spans="1:38" ht="24.95" customHeight="1">
      <c r="A456" s="26">
        <v>7</v>
      </c>
      <c r="B456" s="27" t="s">
        <v>72</v>
      </c>
      <c r="C456" s="92" t="s">
        <v>20</v>
      </c>
      <c r="D456" s="92" t="s">
        <v>20</v>
      </c>
      <c r="E456" s="92">
        <v>0</v>
      </c>
      <c r="F456" s="92" t="s">
        <v>20</v>
      </c>
      <c r="G456" s="92" t="s">
        <v>20</v>
      </c>
      <c r="H456" s="94" t="s">
        <v>20</v>
      </c>
      <c r="I456" s="92" t="s">
        <v>20</v>
      </c>
      <c r="J456" s="122"/>
      <c r="K456" s="450"/>
      <c r="O456" s="26">
        <v>7</v>
      </c>
      <c r="P456" s="27" t="s">
        <v>72</v>
      </c>
      <c r="Q456" s="92">
        <v>0</v>
      </c>
      <c r="R456" s="92">
        <v>0</v>
      </c>
      <c r="S456" s="92">
        <v>0</v>
      </c>
      <c r="T456" s="92">
        <v>0</v>
      </c>
      <c r="U456" s="92">
        <v>0</v>
      </c>
      <c r="V456" s="92">
        <v>0</v>
      </c>
      <c r="W456" s="92">
        <v>0</v>
      </c>
      <c r="X456" s="122"/>
      <c r="AC456" s="26">
        <v>7</v>
      </c>
      <c r="AD456" s="27" t="s">
        <v>72</v>
      </c>
      <c r="AE456" s="92" t="s">
        <v>20</v>
      </c>
      <c r="AF456" s="92" t="s">
        <v>20</v>
      </c>
      <c r="AG456" s="92">
        <v>0</v>
      </c>
      <c r="AH456" s="92" t="s">
        <v>20</v>
      </c>
      <c r="AI456" s="92" t="s">
        <v>20</v>
      </c>
      <c r="AJ456" s="94" t="s">
        <v>20</v>
      </c>
      <c r="AK456" s="92" t="s">
        <v>20</v>
      </c>
      <c r="AL456" s="398"/>
    </row>
    <row r="457" spans="1:38" ht="24.95" customHeight="1">
      <c r="A457" s="26">
        <v>8</v>
      </c>
      <c r="B457" s="27" t="s">
        <v>73</v>
      </c>
      <c r="C457" s="92" t="s">
        <v>20</v>
      </c>
      <c r="D457" s="92" t="s">
        <v>20</v>
      </c>
      <c r="E457" s="92">
        <v>0</v>
      </c>
      <c r="F457" s="92" t="s">
        <v>20</v>
      </c>
      <c r="G457" s="92" t="s">
        <v>20</v>
      </c>
      <c r="H457" s="94" t="s">
        <v>20</v>
      </c>
      <c r="I457" s="92" t="s">
        <v>20</v>
      </c>
      <c r="J457" s="122"/>
      <c r="K457" s="450"/>
      <c r="O457" s="26">
        <v>8</v>
      </c>
      <c r="P457" s="27" t="s">
        <v>73</v>
      </c>
      <c r="Q457" s="92">
        <v>0</v>
      </c>
      <c r="R457" s="92">
        <v>0</v>
      </c>
      <c r="S457" s="92">
        <v>0</v>
      </c>
      <c r="T457" s="92">
        <v>0</v>
      </c>
      <c r="U457" s="92">
        <v>0</v>
      </c>
      <c r="V457" s="92">
        <v>0</v>
      </c>
      <c r="W457" s="92">
        <v>0</v>
      </c>
      <c r="X457" s="122"/>
      <c r="AC457" s="26">
        <v>8</v>
      </c>
      <c r="AD457" s="27" t="s">
        <v>73</v>
      </c>
      <c r="AE457" s="92" t="s">
        <v>20</v>
      </c>
      <c r="AF457" s="92" t="s">
        <v>20</v>
      </c>
      <c r="AG457" s="92">
        <v>0</v>
      </c>
      <c r="AH457" s="92" t="s">
        <v>20</v>
      </c>
      <c r="AI457" s="92" t="s">
        <v>20</v>
      </c>
      <c r="AJ457" s="94" t="s">
        <v>20</v>
      </c>
      <c r="AK457" s="92" t="s">
        <v>20</v>
      </c>
      <c r="AL457" s="398"/>
    </row>
    <row r="458" spans="1:38" ht="24.95" customHeight="1">
      <c r="A458" s="26">
        <v>9</v>
      </c>
      <c r="B458" s="27" t="s">
        <v>74</v>
      </c>
      <c r="C458" s="92" t="s">
        <v>20</v>
      </c>
      <c r="D458" s="92" t="s">
        <v>20</v>
      </c>
      <c r="E458" s="92">
        <v>0</v>
      </c>
      <c r="F458" s="92" t="s">
        <v>20</v>
      </c>
      <c r="G458" s="92" t="s">
        <v>20</v>
      </c>
      <c r="H458" s="94" t="s">
        <v>20</v>
      </c>
      <c r="I458" s="92" t="s">
        <v>20</v>
      </c>
      <c r="J458" s="122"/>
      <c r="K458" s="450"/>
      <c r="O458" s="26">
        <v>9</v>
      </c>
      <c r="P458" s="27" t="s">
        <v>74</v>
      </c>
      <c r="Q458" s="92">
        <v>0</v>
      </c>
      <c r="R458" s="92">
        <v>0</v>
      </c>
      <c r="S458" s="92">
        <v>0</v>
      </c>
      <c r="T458" s="92">
        <v>0</v>
      </c>
      <c r="U458" s="92">
        <v>0</v>
      </c>
      <c r="V458" s="92">
        <v>0</v>
      </c>
      <c r="W458" s="92">
        <v>0</v>
      </c>
      <c r="X458" s="122"/>
      <c r="AC458" s="26">
        <v>9</v>
      </c>
      <c r="AD458" s="27" t="s">
        <v>74</v>
      </c>
      <c r="AE458" s="92" t="s">
        <v>20</v>
      </c>
      <c r="AF458" s="92" t="s">
        <v>20</v>
      </c>
      <c r="AG458" s="92">
        <v>0</v>
      </c>
      <c r="AH458" s="92" t="s">
        <v>20</v>
      </c>
      <c r="AI458" s="92" t="s">
        <v>20</v>
      </c>
      <c r="AJ458" s="94" t="s">
        <v>20</v>
      </c>
      <c r="AK458" s="92" t="s">
        <v>20</v>
      </c>
      <c r="AL458" s="398"/>
    </row>
    <row r="459" spans="1:38" ht="24.95" customHeight="1">
      <c r="A459" s="26">
        <v>10</v>
      </c>
      <c r="B459" s="27" t="s">
        <v>75</v>
      </c>
      <c r="C459" s="92" t="s">
        <v>20</v>
      </c>
      <c r="D459" s="92" t="s">
        <v>20</v>
      </c>
      <c r="E459" s="92">
        <v>0</v>
      </c>
      <c r="F459" s="92" t="s">
        <v>20</v>
      </c>
      <c r="G459" s="92" t="s">
        <v>20</v>
      </c>
      <c r="H459" s="94" t="s">
        <v>20</v>
      </c>
      <c r="I459" s="92" t="s">
        <v>20</v>
      </c>
      <c r="J459" s="122"/>
      <c r="K459" s="450"/>
      <c r="O459" s="26">
        <v>10</v>
      </c>
      <c r="P459" s="27" t="s">
        <v>75</v>
      </c>
      <c r="Q459" s="92">
        <v>0</v>
      </c>
      <c r="R459" s="92">
        <v>0</v>
      </c>
      <c r="S459" s="92">
        <v>0</v>
      </c>
      <c r="T459" s="92">
        <v>0</v>
      </c>
      <c r="U459" s="92">
        <v>0</v>
      </c>
      <c r="V459" s="92">
        <v>0</v>
      </c>
      <c r="W459" s="92">
        <v>0</v>
      </c>
      <c r="X459" s="122"/>
      <c r="AC459" s="26">
        <v>10</v>
      </c>
      <c r="AD459" s="27" t="s">
        <v>75</v>
      </c>
      <c r="AE459" s="92" t="s">
        <v>20</v>
      </c>
      <c r="AF459" s="92" t="s">
        <v>20</v>
      </c>
      <c r="AG459" s="92">
        <v>0</v>
      </c>
      <c r="AH459" s="92" t="s">
        <v>20</v>
      </c>
      <c r="AI459" s="92" t="s">
        <v>20</v>
      </c>
      <c r="AJ459" s="94" t="s">
        <v>20</v>
      </c>
      <c r="AK459" s="92" t="s">
        <v>20</v>
      </c>
      <c r="AL459" s="398"/>
    </row>
    <row r="460" spans="1:38" ht="24.95" customHeight="1">
      <c r="A460" s="26">
        <v>11</v>
      </c>
      <c r="B460" s="35" t="s">
        <v>76</v>
      </c>
      <c r="C460" s="92" t="s">
        <v>20</v>
      </c>
      <c r="D460" s="92" t="s">
        <v>20</v>
      </c>
      <c r="E460" s="92">
        <v>0</v>
      </c>
      <c r="F460" s="92" t="s">
        <v>20</v>
      </c>
      <c r="G460" s="92" t="s">
        <v>20</v>
      </c>
      <c r="H460" s="94" t="s">
        <v>20</v>
      </c>
      <c r="I460" s="92" t="s">
        <v>20</v>
      </c>
      <c r="J460" s="122"/>
      <c r="K460" s="450"/>
      <c r="O460" s="26">
        <v>11</v>
      </c>
      <c r="P460" s="35" t="s">
        <v>76</v>
      </c>
      <c r="Q460" s="92">
        <v>0</v>
      </c>
      <c r="R460" s="92">
        <v>0</v>
      </c>
      <c r="S460" s="92">
        <v>0</v>
      </c>
      <c r="T460" s="92">
        <v>0</v>
      </c>
      <c r="U460" s="92">
        <v>0</v>
      </c>
      <c r="V460" s="92">
        <v>0</v>
      </c>
      <c r="W460" s="92">
        <v>0</v>
      </c>
      <c r="X460" s="122"/>
      <c r="AC460" s="26">
        <v>11</v>
      </c>
      <c r="AD460" s="35" t="s">
        <v>76</v>
      </c>
      <c r="AE460" s="92" t="s">
        <v>20</v>
      </c>
      <c r="AF460" s="92" t="s">
        <v>20</v>
      </c>
      <c r="AG460" s="92">
        <v>0</v>
      </c>
      <c r="AH460" s="92" t="s">
        <v>20</v>
      </c>
      <c r="AI460" s="92" t="s">
        <v>20</v>
      </c>
      <c r="AJ460" s="94" t="s">
        <v>20</v>
      </c>
      <c r="AK460" s="92" t="s">
        <v>20</v>
      </c>
      <c r="AL460" s="398"/>
    </row>
    <row r="461" spans="1:38" ht="24.95" customHeight="1">
      <c r="A461" s="664" t="s">
        <v>77</v>
      </c>
      <c r="B461" s="665"/>
      <c r="C461" s="384">
        <f>SUM(C450:C460)</f>
        <v>5</v>
      </c>
      <c r="D461" s="317">
        <f>SUM(D450:D460)</f>
        <v>0</v>
      </c>
      <c r="E461" s="384">
        <f>SUM(E450:E460)</f>
        <v>0</v>
      </c>
      <c r="F461" s="317">
        <f>F454</f>
        <v>5</v>
      </c>
      <c r="G461" s="317">
        <f>SUM(G450:G460)</f>
        <v>0</v>
      </c>
      <c r="H461" s="446">
        <f>H454</f>
        <v>500</v>
      </c>
      <c r="I461" s="382">
        <f>SUM(I450:I460)</f>
        <v>14</v>
      </c>
      <c r="J461" s="383">
        <f>SUM(J450:J460)</f>
        <v>2</v>
      </c>
      <c r="K461" s="380">
        <f>SUM(K450:K460)</f>
        <v>2</v>
      </c>
      <c r="L461" s="380">
        <f t="shared" ref="L461:N461" si="185">SUM(L450:L460)</f>
        <v>-2</v>
      </c>
      <c r="M461" s="380">
        <f t="shared" si="185"/>
        <v>0</v>
      </c>
      <c r="N461" s="380">
        <f t="shared" si="185"/>
        <v>0</v>
      </c>
      <c r="O461" s="664" t="s">
        <v>77</v>
      </c>
      <c r="P461" s="665"/>
      <c r="Q461" s="384">
        <f>SUM(Q450:Q460)</f>
        <v>3</v>
      </c>
      <c r="R461" s="317">
        <f>SUM(R450:R460)</f>
        <v>2</v>
      </c>
      <c r="S461" s="384">
        <f>SUM(S450:S460)</f>
        <v>0</v>
      </c>
      <c r="T461" s="317">
        <f>T454</f>
        <v>3</v>
      </c>
      <c r="U461" s="317">
        <f>SUM(U450:U460)</f>
        <v>1</v>
      </c>
      <c r="V461" s="446">
        <f>V454</f>
        <v>500</v>
      </c>
      <c r="W461" s="382">
        <f>SUM(W450:W460)</f>
        <v>14</v>
      </c>
      <c r="X461" s="383"/>
      <c r="AC461" s="664" t="s">
        <v>77</v>
      </c>
      <c r="AD461" s="665"/>
      <c r="AE461" s="384">
        <f>SUM(AE450:AE460)</f>
        <v>4</v>
      </c>
      <c r="AF461" s="317">
        <f>SUM(AF450:AF460)</f>
        <v>4</v>
      </c>
      <c r="AG461" s="384">
        <f>SUM(AG450:AG460)</f>
        <v>0</v>
      </c>
      <c r="AH461" s="317">
        <f>AH454</f>
        <v>4</v>
      </c>
      <c r="AI461" s="317">
        <f>SUM(AI450:AI460)</f>
        <v>2</v>
      </c>
      <c r="AJ461" s="446" t="s">
        <v>20</v>
      </c>
      <c r="AK461" s="382">
        <f>SUM(AK450:AK460)</f>
        <v>14</v>
      </c>
      <c r="AL461" s="432"/>
    </row>
    <row r="462" spans="1:38" ht="24.95" customHeight="1">
      <c r="C462" s="273">
        <f>C461-Q461</f>
        <v>2</v>
      </c>
      <c r="D462" s="273">
        <f t="shared" ref="D462:I462" si="186">D461-R461</f>
        <v>-2</v>
      </c>
      <c r="E462" s="273">
        <f t="shared" si="186"/>
        <v>0</v>
      </c>
      <c r="F462" s="273">
        <f t="shared" si="186"/>
        <v>2</v>
      </c>
      <c r="G462" s="273">
        <f t="shared" si="186"/>
        <v>-1</v>
      </c>
      <c r="H462" s="273">
        <f t="shared" si="186"/>
        <v>0</v>
      </c>
      <c r="I462" s="273">
        <f t="shared" si="186"/>
        <v>0</v>
      </c>
      <c r="Q462" s="273">
        <f>Q461-AE461</f>
        <v>-1</v>
      </c>
      <c r="R462" s="273">
        <f t="shared" ref="R462:W462" si="187">R461-AF461</f>
        <v>-2</v>
      </c>
      <c r="S462" s="273">
        <f t="shared" si="187"/>
        <v>0</v>
      </c>
      <c r="T462" s="273">
        <f t="shared" si="187"/>
        <v>-1</v>
      </c>
      <c r="U462" s="273">
        <f t="shared" si="187"/>
        <v>-1</v>
      </c>
      <c r="V462" s="273">
        <v>500</v>
      </c>
      <c r="W462" s="273">
        <f t="shared" si="187"/>
        <v>0</v>
      </c>
    </row>
    <row r="463" spans="1:38" ht="24.95" customHeight="1">
      <c r="B463" s="6" t="s">
        <v>12</v>
      </c>
      <c r="C463" s="320" t="s">
        <v>33</v>
      </c>
      <c r="G463" s="1"/>
      <c r="P463" s="6" t="s">
        <v>12</v>
      </c>
      <c r="Q463" s="320" t="s">
        <v>33</v>
      </c>
      <c r="U463" s="1"/>
      <c r="AI463" s="1" t="s">
        <v>104</v>
      </c>
    </row>
    <row r="464" spans="1:38" ht="24.95" customHeight="1">
      <c r="B464" s="6" t="s">
        <v>13</v>
      </c>
      <c r="C464" s="320" t="s">
        <v>34</v>
      </c>
      <c r="G464" s="650"/>
      <c r="H464" s="637"/>
      <c r="I464" s="637"/>
      <c r="J464" s="637"/>
      <c r="K464" s="48"/>
      <c r="P464" s="6" t="s">
        <v>13</v>
      </c>
      <c r="Q464" s="320" t="s">
        <v>34</v>
      </c>
      <c r="U464" s="650"/>
      <c r="V464" s="637"/>
      <c r="W464" s="637"/>
      <c r="X464" s="637"/>
      <c r="AI464" s="266" t="s">
        <v>105</v>
      </c>
      <c r="AJ464" s="323"/>
      <c r="AK464" s="323"/>
      <c r="AL464" s="323"/>
    </row>
    <row r="465" spans="1:50" ht="24.95" customHeight="1">
      <c r="B465" s="6" t="s">
        <v>14</v>
      </c>
      <c r="C465" s="320" t="s">
        <v>35</v>
      </c>
      <c r="G465" s="1"/>
      <c r="P465" s="6" t="s">
        <v>14</v>
      </c>
      <c r="Q465" s="320" t="s">
        <v>35</v>
      </c>
      <c r="U465" s="1"/>
      <c r="AI465" s="1" t="s">
        <v>106</v>
      </c>
    </row>
    <row r="466" spans="1:50" ht="24.95" customHeight="1">
      <c r="G466" s="637"/>
      <c r="H466" s="637"/>
      <c r="I466" s="637"/>
      <c r="J466" s="637"/>
      <c r="K466" s="48"/>
      <c r="U466" s="637"/>
      <c r="V466" s="637"/>
      <c r="W466" s="637"/>
      <c r="X466" s="637"/>
      <c r="AI466" s="637"/>
      <c r="AJ466" s="637"/>
      <c r="AK466" s="637"/>
      <c r="AL466" s="637"/>
    </row>
    <row r="467" spans="1:50" ht="24.95" customHeight="1">
      <c r="G467" s="637"/>
      <c r="H467" s="637"/>
      <c r="I467" s="637"/>
      <c r="J467" s="637"/>
      <c r="K467" s="48"/>
      <c r="U467" s="637"/>
      <c r="V467" s="637"/>
      <c r="W467" s="637"/>
      <c r="X467" s="637"/>
      <c r="AI467" s="637"/>
      <c r="AJ467" s="637"/>
      <c r="AK467" s="637"/>
      <c r="AL467" s="637"/>
      <c r="AU467" s="637"/>
      <c r="AV467" s="637"/>
      <c r="AW467" s="637"/>
      <c r="AX467" s="637"/>
    </row>
    <row r="468" spans="1:50" ht="24.95" customHeight="1"/>
    <row r="469" spans="1:50" ht="24.95" customHeight="1"/>
    <row r="470" spans="1:50" ht="24.95" customHeight="1">
      <c r="G470" s="653"/>
      <c r="H470" s="653"/>
      <c r="I470" s="653"/>
      <c r="J470" s="653"/>
      <c r="K470" s="46"/>
      <c r="U470" s="653"/>
      <c r="V470" s="653"/>
      <c r="W470" s="653"/>
      <c r="X470" s="653"/>
    </row>
    <row r="471" spans="1:50" ht="24.95" customHeight="1">
      <c r="G471" s="637"/>
      <c r="H471" s="637"/>
      <c r="I471" s="637"/>
      <c r="J471" s="637"/>
      <c r="K471" s="48"/>
      <c r="U471" s="637"/>
      <c r="V471" s="637"/>
      <c r="W471" s="637"/>
      <c r="X471" s="637"/>
    </row>
    <row r="472" spans="1:50" ht="24.95" customHeight="1">
      <c r="G472" s="637"/>
      <c r="H472" s="637"/>
      <c r="I472" s="637"/>
      <c r="J472" s="637"/>
      <c r="K472" s="48"/>
      <c r="U472" s="637"/>
      <c r="V472" s="637"/>
      <c r="W472" s="637"/>
      <c r="X472" s="637"/>
    </row>
    <row r="473" spans="1:50" ht="24.95" customHeight="1"/>
    <row r="474" spans="1:50" ht="24.95" customHeight="1"/>
    <row r="475" spans="1:50" ht="24.95" customHeight="1"/>
    <row r="476" spans="1:50" ht="24.95" customHeight="1"/>
    <row r="477" spans="1:50" ht="24.95" customHeight="1"/>
    <row r="478" spans="1:50" ht="24.95" customHeight="1"/>
    <row r="479" spans="1:50" ht="24.95" customHeight="1">
      <c r="G479" s="48"/>
      <c r="H479" s="48"/>
      <c r="I479" s="48"/>
      <c r="J479" s="48"/>
      <c r="K479" s="48"/>
      <c r="U479" s="48"/>
      <c r="V479" s="48"/>
      <c r="W479" s="48"/>
      <c r="X479" s="48"/>
      <c r="AI479" s="48"/>
      <c r="AJ479" s="48"/>
      <c r="AK479" s="48"/>
      <c r="AL479" s="48"/>
    </row>
    <row r="480" spans="1:50" ht="24.95" customHeight="1">
      <c r="A480" s="632" t="s">
        <v>59</v>
      </c>
      <c r="B480" s="632"/>
      <c r="C480" s="632"/>
      <c r="D480" s="632"/>
      <c r="E480" s="632"/>
      <c r="F480" s="632"/>
      <c r="G480" s="632"/>
      <c r="H480" s="632"/>
      <c r="I480" s="632"/>
      <c r="J480" s="632"/>
      <c r="K480" s="296"/>
      <c r="O480" s="632" t="s">
        <v>59</v>
      </c>
      <c r="P480" s="632"/>
      <c r="Q480" s="632"/>
      <c r="R480" s="632"/>
      <c r="S480" s="632"/>
      <c r="T480" s="632"/>
      <c r="U480" s="632"/>
      <c r="V480" s="632"/>
      <c r="W480" s="632"/>
      <c r="X480" s="632"/>
      <c r="AC480" s="663" t="s">
        <v>59</v>
      </c>
      <c r="AD480" s="663"/>
      <c r="AE480" s="663"/>
      <c r="AF480" s="663"/>
      <c r="AG480" s="663"/>
      <c r="AH480" s="663"/>
      <c r="AI480" s="663"/>
      <c r="AJ480" s="663"/>
      <c r="AK480" s="663"/>
      <c r="AL480" s="663"/>
    </row>
    <row r="481" spans="1:38" ht="24.95" customHeight="1">
      <c r="A481" s="632" t="s">
        <v>1</v>
      </c>
      <c r="B481" s="632"/>
      <c r="C481" s="632"/>
      <c r="D481" s="632"/>
      <c r="E481" s="632"/>
      <c r="F481" s="632"/>
      <c r="G481" s="632"/>
      <c r="H481" s="632"/>
      <c r="I481" s="632"/>
      <c r="J481" s="632"/>
      <c r="K481" s="296"/>
      <c r="O481" s="632" t="s">
        <v>1</v>
      </c>
      <c r="P481" s="632"/>
      <c r="Q481" s="632"/>
      <c r="R481" s="632"/>
      <c r="S481" s="632"/>
      <c r="T481" s="632"/>
      <c r="U481" s="632"/>
      <c r="V481" s="632"/>
      <c r="W481" s="632"/>
      <c r="X481" s="632"/>
      <c r="AC481" s="663" t="s">
        <v>1</v>
      </c>
      <c r="AD481" s="663"/>
      <c r="AE481" s="663"/>
      <c r="AF481" s="663"/>
      <c r="AG481" s="663"/>
      <c r="AH481" s="663"/>
      <c r="AI481" s="663"/>
      <c r="AJ481" s="663"/>
      <c r="AK481" s="663"/>
      <c r="AL481" s="663"/>
    </row>
    <row r="482" spans="1:38" ht="24.95" customHeight="1">
      <c r="A482" s="632" t="s">
        <v>206</v>
      </c>
      <c r="B482" s="632"/>
      <c r="C482" s="632"/>
      <c r="D482" s="632"/>
      <c r="E482" s="632"/>
      <c r="F482" s="632"/>
      <c r="G482" s="632"/>
      <c r="H482" s="632"/>
      <c r="I482" s="632"/>
      <c r="J482" s="632"/>
      <c r="K482" s="623"/>
      <c r="O482" s="632" t="s">
        <v>60</v>
      </c>
      <c r="P482" s="632"/>
      <c r="Q482" s="632"/>
      <c r="R482" s="632"/>
      <c r="S482" s="632"/>
      <c r="T482" s="632"/>
      <c r="U482" s="632"/>
      <c r="V482" s="632"/>
      <c r="W482" s="632"/>
      <c r="X482" s="632"/>
      <c r="AC482" s="663" t="s">
        <v>107</v>
      </c>
      <c r="AD482" s="663"/>
      <c r="AE482" s="663"/>
      <c r="AF482" s="663"/>
      <c r="AG482" s="663"/>
      <c r="AH482" s="663"/>
      <c r="AI482" s="663"/>
      <c r="AJ482" s="663"/>
      <c r="AK482" s="663"/>
      <c r="AL482" s="663"/>
    </row>
    <row r="483" spans="1:38" ht="24.9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AC483" s="82"/>
      <c r="AD483" s="82"/>
      <c r="AE483" s="82"/>
      <c r="AF483" s="82"/>
      <c r="AG483" s="82"/>
      <c r="AH483" s="82"/>
      <c r="AI483" s="82"/>
      <c r="AJ483" s="82"/>
      <c r="AK483" s="82"/>
      <c r="AL483" s="82"/>
    </row>
    <row r="484" spans="1:38" ht="24.95" customHeight="1">
      <c r="A484" t="s">
        <v>61</v>
      </c>
      <c r="C484" s="1" t="s">
        <v>98</v>
      </c>
      <c r="O484" t="s">
        <v>61</v>
      </c>
      <c r="Q484" s="1" t="s">
        <v>98</v>
      </c>
      <c r="AC484" t="s">
        <v>61</v>
      </c>
      <c r="AE484" s="1" t="s">
        <v>98</v>
      </c>
    </row>
    <row r="485" spans="1:38" ht="24.95" customHeight="1"/>
    <row r="486" spans="1:38" ht="24.95" customHeight="1">
      <c r="A486" s="297" t="s">
        <v>4</v>
      </c>
      <c r="B486" s="298" t="s">
        <v>63</v>
      </c>
      <c r="C486" s="298" t="s">
        <v>12</v>
      </c>
      <c r="D486" s="298" t="s">
        <v>13</v>
      </c>
      <c r="E486" s="298" t="s">
        <v>14</v>
      </c>
      <c r="F486" s="299" t="s">
        <v>86</v>
      </c>
      <c r="G486" s="299" t="s">
        <v>8</v>
      </c>
      <c r="H486" s="299" t="s">
        <v>9</v>
      </c>
      <c r="I486" s="299" t="s">
        <v>10</v>
      </c>
      <c r="J486" s="330" t="s">
        <v>11</v>
      </c>
      <c r="K486" s="401" t="s">
        <v>102</v>
      </c>
      <c r="O486" s="297" t="s">
        <v>4</v>
      </c>
      <c r="P486" s="298" t="s">
        <v>63</v>
      </c>
      <c r="Q486" s="298" t="s">
        <v>12</v>
      </c>
      <c r="R486" s="298" t="s">
        <v>13</v>
      </c>
      <c r="S486" s="298" t="s">
        <v>14</v>
      </c>
      <c r="T486" s="299" t="s">
        <v>86</v>
      </c>
      <c r="U486" s="299" t="s">
        <v>8</v>
      </c>
      <c r="V486" s="299" t="s">
        <v>9</v>
      </c>
      <c r="W486" s="299" t="s">
        <v>10</v>
      </c>
      <c r="X486" s="330" t="s">
        <v>11</v>
      </c>
      <c r="Z486" s="357" t="s">
        <v>103</v>
      </c>
      <c r="AC486" s="297" t="s">
        <v>4</v>
      </c>
      <c r="AD486" s="298" t="s">
        <v>63</v>
      </c>
      <c r="AE486" s="298" t="s">
        <v>12</v>
      </c>
      <c r="AF486" s="298" t="s">
        <v>13</v>
      </c>
      <c r="AG486" s="298" t="s">
        <v>14</v>
      </c>
      <c r="AH486" s="299" t="s">
        <v>86</v>
      </c>
      <c r="AI486" s="299" t="s">
        <v>8</v>
      </c>
      <c r="AJ486" s="299" t="s">
        <v>9</v>
      </c>
      <c r="AK486" s="299" t="s">
        <v>10</v>
      </c>
      <c r="AL486" s="330" t="s">
        <v>11</v>
      </c>
    </row>
    <row r="487" spans="1:38" ht="24.95" customHeight="1">
      <c r="A487" s="300">
        <v>1</v>
      </c>
      <c r="B487" s="301">
        <v>2</v>
      </c>
      <c r="C487" s="301">
        <v>3</v>
      </c>
      <c r="D487" s="301">
        <v>4</v>
      </c>
      <c r="E487" s="301">
        <v>5</v>
      </c>
      <c r="F487" s="301">
        <v>6</v>
      </c>
      <c r="G487" s="301">
        <v>7</v>
      </c>
      <c r="H487" s="301">
        <v>8</v>
      </c>
      <c r="I487" s="301">
        <v>9</v>
      </c>
      <c r="J487" s="333">
        <v>10</v>
      </c>
      <c r="K487" s="334" t="s">
        <v>12</v>
      </c>
      <c r="L487" s="1" t="s">
        <v>13</v>
      </c>
      <c r="M487" s="1" t="s">
        <v>14</v>
      </c>
      <c r="N487" s="1" t="s">
        <v>65</v>
      </c>
      <c r="O487" s="300">
        <v>1</v>
      </c>
      <c r="P487" s="301">
        <v>2</v>
      </c>
      <c r="Q487" s="301">
        <v>3</v>
      </c>
      <c r="R487" s="301">
        <v>4</v>
      </c>
      <c r="S487" s="301">
        <v>5</v>
      </c>
      <c r="T487" s="301">
        <v>6</v>
      </c>
      <c r="U487" s="301">
        <v>7</v>
      </c>
      <c r="V487" s="301">
        <v>8</v>
      </c>
      <c r="W487" s="301">
        <v>9</v>
      </c>
      <c r="X487" s="333">
        <v>10</v>
      </c>
      <c r="Y487" s="1" t="s">
        <v>94</v>
      </c>
      <c r="Z487" s="1" t="s">
        <v>95</v>
      </c>
      <c r="AA487" s="1" t="s">
        <v>96</v>
      </c>
      <c r="AB487" s="403" t="s">
        <v>97</v>
      </c>
      <c r="AC487" s="300">
        <v>1</v>
      </c>
      <c r="AD487" s="301">
        <v>2</v>
      </c>
      <c r="AE487" s="301">
        <v>3</v>
      </c>
      <c r="AF487" s="301">
        <v>4</v>
      </c>
      <c r="AG487" s="301">
        <v>5</v>
      </c>
      <c r="AH487" s="301">
        <v>6</v>
      </c>
      <c r="AI487" s="301">
        <v>7</v>
      </c>
      <c r="AJ487" s="301">
        <v>8</v>
      </c>
      <c r="AK487" s="301">
        <v>9</v>
      </c>
      <c r="AL487" s="333">
        <v>10</v>
      </c>
    </row>
    <row r="488" spans="1:38" ht="24.95" customHeight="1">
      <c r="A488" s="16">
        <v>1</v>
      </c>
      <c r="B488" s="17" t="s">
        <v>82</v>
      </c>
      <c r="C488" s="394">
        <v>0</v>
      </c>
      <c r="D488" s="394">
        <v>0</v>
      </c>
      <c r="E488" s="394">
        <v>0</v>
      </c>
      <c r="F488" s="394">
        <v>0</v>
      </c>
      <c r="G488" s="394">
        <v>0</v>
      </c>
      <c r="H488" s="394">
        <v>0</v>
      </c>
      <c r="I488" s="394">
        <v>0</v>
      </c>
      <c r="J488" s="398"/>
      <c r="K488" s="337"/>
      <c r="O488" s="16">
        <v>1</v>
      </c>
      <c r="P488" s="17" t="s">
        <v>82</v>
      </c>
      <c r="Q488" s="394">
        <v>0</v>
      </c>
      <c r="R488" s="394">
        <v>0</v>
      </c>
      <c r="S488" s="394">
        <v>0</v>
      </c>
      <c r="T488" s="394">
        <v>0</v>
      </c>
      <c r="U488" s="394">
        <v>0</v>
      </c>
      <c r="V488" s="394">
        <v>0</v>
      </c>
      <c r="W488" s="394">
        <v>0</v>
      </c>
      <c r="X488" s="398"/>
      <c r="AC488" s="16">
        <v>1</v>
      </c>
      <c r="AD488" s="17" t="s">
        <v>82</v>
      </c>
      <c r="AE488" s="394" t="s">
        <v>20</v>
      </c>
      <c r="AF488" s="394" t="s">
        <v>20</v>
      </c>
      <c r="AG488" s="394" t="s">
        <v>20</v>
      </c>
      <c r="AH488" s="394" t="s">
        <v>20</v>
      </c>
      <c r="AI488" s="394" t="s">
        <v>20</v>
      </c>
      <c r="AJ488" s="394" t="s">
        <v>20</v>
      </c>
      <c r="AK488" s="394" t="s">
        <v>20</v>
      </c>
      <c r="AL488" s="347"/>
    </row>
    <row r="489" spans="1:38" ht="24.95" customHeight="1">
      <c r="A489" s="22">
        <v>2</v>
      </c>
      <c r="B489" s="23" t="s">
        <v>67</v>
      </c>
      <c r="C489" s="394">
        <v>0</v>
      </c>
      <c r="D489" s="394">
        <v>0</v>
      </c>
      <c r="E489" s="394">
        <v>0</v>
      </c>
      <c r="F489" s="394">
        <v>0</v>
      </c>
      <c r="G489" s="394">
        <v>0</v>
      </c>
      <c r="H489" s="394">
        <v>0</v>
      </c>
      <c r="I489" s="394">
        <v>0</v>
      </c>
      <c r="J489" s="398"/>
      <c r="K489" s="337"/>
      <c r="O489" s="22">
        <v>2</v>
      </c>
      <c r="P489" s="23" t="s">
        <v>67</v>
      </c>
      <c r="Q489" s="394">
        <v>0</v>
      </c>
      <c r="R489" s="394">
        <v>0</v>
      </c>
      <c r="S489" s="394">
        <v>0</v>
      </c>
      <c r="T489" s="394">
        <v>0</v>
      </c>
      <c r="U489" s="394">
        <v>0</v>
      </c>
      <c r="V489" s="394">
        <v>0</v>
      </c>
      <c r="W489" s="394">
        <v>0</v>
      </c>
      <c r="X489" s="398"/>
      <c r="AC489" s="22">
        <v>2</v>
      </c>
      <c r="AD489" s="23" t="s">
        <v>67</v>
      </c>
      <c r="AE489" s="394" t="s">
        <v>20</v>
      </c>
      <c r="AF489" s="394" t="s">
        <v>20</v>
      </c>
      <c r="AG489" s="394" t="s">
        <v>20</v>
      </c>
      <c r="AH489" s="394" t="s">
        <v>20</v>
      </c>
      <c r="AI489" s="394" t="s">
        <v>20</v>
      </c>
      <c r="AJ489" s="394" t="s">
        <v>20</v>
      </c>
      <c r="AK489" s="394" t="s">
        <v>20</v>
      </c>
      <c r="AL489" s="398"/>
    </row>
    <row r="490" spans="1:38" ht="24.95" customHeight="1">
      <c r="A490" s="26">
        <v>3</v>
      </c>
      <c r="B490" s="27" t="s">
        <v>68</v>
      </c>
      <c r="C490" s="394">
        <v>0</v>
      </c>
      <c r="D490" s="394">
        <v>0</v>
      </c>
      <c r="E490" s="394">
        <v>0</v>
      </c>
      <c r="F490" s="394">
        <v>0</v>
      </c>
      <c r="G490" s="394">
        <v>0</v>
      </c>
      <c r="H490" s="394">
        <v>0</v>
      </c>
      <c r="I490" s="394">
        <v>0</v>
      </c>
      <c r="J490" s="420"/>
      <c r="K490" s="337"/>
      <c r="O490" s="26">
        <v>3</v>
      </c>
      <c r="P490" s="27" t="s">
        <v>68</v>
      </c>
      <c r="Q490" s="394">
        <v>0</v>
      </c>
      <c r="R490" s="394">
        <v>0</v>
      </c>
      <c r="S490" s="394">
        <v>0</v>
      </c>
      <c r="T490" s="394">
        <v>0</v>
      </c>
      <c r="U490" s="394">
        <v>0</v>
      </c>
      <c r="V490" s="394">
        <v>0</v>
      </c>
      <c r="W490" s="394">
        <v>0</v>
      </c>
      <c r="X490" s="420"/>
      <c r="AC490" s="26">
        <v>3</v>
      </c>
      <c r="AD490" s="27" t="s">
        <v>68</v>
      </c>
      <c r="AE490" s="394" t="s">
        <v>20</v>
      </c>
      <c r="AF490" s="394" t="s">
        <v>20</v>
      </c>
      <c r="AG490" s="394" t="s">
        <v>20</v>
      </c>
      <c r="AH490" s="394" t="s">
        <v>20</v>
      </c>
      <c r="AI490" s="394" t="s">
        <v>20</v>
      </c>
      <c r="AJ490" s="394" t="s">
        <v>20</v>
      </c>
      <c r="AK490" s="394" t="s">
        <v>20</v>
      </c>
      <c r="AL490" s="420"/>
    </row>
    <row r="491" spans="1:38" ht="24.95" customHeight="1">
      <c r="A491" s="26">
        <v>4</v>
      </c>
      <c r="B491" s="27" t="s">
        <v>69</v>
      </c>
      <c r="C491" s="394">
        <v>0</v>
      </c>
      <c r="D491" s="394">
        <v>0</v>
      </c>
      <c r="E491" s="394">
        <v>0</v>
      </c>
      <c r="F491" s="394">
        <v>0</v>
      </c>
      <c r="G491" s="394">
        <v>0</v>
      </c>
      <c r="H491" s="394">
        <v>0</v>
      </c>
      <c r="I491" s="394">
        <v>0</v>
      </c>
      <c r="J491" s="398"/>
      <c r="K491" s="337"/>
      <c r="O491" s="26">
        <v>4</v>
      </c>
      <c r="P491" s="27" t="s">
        <v>69</v>
      </c>
      <c r="Q491" s="394">
        <v>0</v>
      </c>
      <c r="R491" s="394">
        <v>0</v>
      </c>
      <c r="S491" s="394">
        <v>0</v>
      </c>
      <c r="T491" s="394">
        <v>0</v>
      </c>
      <c r="U491" s="394">
        <v>0</v>
      </c>
      <c r="V491" s="394">
        <v>0</v>
      </c>
      <c r="W491" s="394">
        <v>0</v>
      </c>
      <c r="X491" s="398"/>
      <c r="AC491" s="26">
        <v>4</v>
      </c>
      <c r="AD491" s="27" t="s">
        <v>69</v>
      </c>
      <c r="AE491" s="394" t="s">
        <v>20</v>
      </c>
      <c r="AF491" s="394" t="s">
        <v>20</v>
      </c>
      <c r="AG491" s="394" t="s">
        <v>20</v>
      </c>
      <c r="AH491" s="394" t="s">
        <v>20</v>
      </c>
      <c r="AI491" s="394" t="s">
        <v>20</v>
      </c>
      <c r="AJ491" s="394" t="s">
        <v>20</v>
      </c>
      <c r="AK491" s="394" t="s">
        <v>20</v>
      </c>
      <c r="AL491" s="347"/>
    </row>
    <row r="492" spans="1:38" ht="24.95" customHeight="1">
      <c r="A492" s="26">
        <v>5</v>
      </c>
      <c r="B492" s="32" t="s">
        <v>70</v>
      </c>
      <c r="C492" s="394">
        <v>0</v>
      </c>
      <c r="D492" s="394">
        <v>0</v>
      </c>
      <c r="E492" s="394">
        <v>0</v>
      </c>
      <c r="F492" s="394">
        <v>0</v>
      </c>
      <c r="G492" s="394">
        <v>0</v>
      </c>
      <c r="H492" s="394">
        <v>0</v>
      </c>
      <c r="I492" s="394">
        <v>0</v>
      </c>
      <c r="J492" s="398"/>
      <c r="K492" s="337"/>
      <c r="O492" s="26">
        <v>5</v>
      </c>
      <c r="P492" s="32" t="s">
        <v>70</v>
      </c>
      <c r="Q492" s="394">
        <v>0</v>
      </c>
      <c r="R492" s="394">
        <v>0</v>
      </c>
      <c r="S492" s="394">
        <v>0</v>
      </c>
      <c r="T492" s="394">
        <v>0</v>
      </c>
      <c r="U492" s="394">
        <v>0</v>
      </c>
      <c r="V492" s="394">
        <v>0</v>
      </c>
      <c r="W492" s="394">
        <v>0</v>
      </c>
      <c r="X492" s="398"/>
      <c r="AC492" s="26">
        <v>5</v>
      </c>
      <c r="AD492" s="32" t="s">
        <v>70</v>
      </c>
      <c r="AE492" s="394" t="s">
        <v>20</v>
      </c>
      <c r="AF492" s="394" t="s">
        <v>20</v>
      </c>
      <c r="AG492" s="394" t="s">
        <v>20</v>
      </c>
      <c r="AH492" s="394" t="s">
        <v>20</v>
      </c>
      <c r="AI492" s="394" t="s">
        <v>20</v>
      </c>
      <c r="AJ492" s="394" t="s">
        <v>20</v>
      </c>
      <c r="AK492" s="394" t="s">
        <v>20</v>
      </c>
      <c r="AL492" s="347"/>
    </row>
    <row r="493" spans="1:38" ht="24.95" customHeight="1">
      <c r="A493" s="26">
        <v>6</v>
      </c>
      <c r="B493" s="27" t="s">
        <v>71</v>
      </c>
      <c r="C493" s="394">
        <v>0</v>
      </c>
      <c r="D493" s="394">
        <v>0</v>
      </c>
      <c r="E493" s="394">
        <v>0</v>
      </c>
      <c r="F493" s="394">
        <v>0</v>
      </c>
      <c r="G493" s="394">
        <v>0</v>
      </c>
      <c r="H493" s="394">
        <v>0</v>
      </c>
      <c r="I493" s="394">
        <v>0</v>
      </c>
      <c r="J493" s="398"/>
      <c r="K493" s="337"/>
      <c r="O493" s="26">
        <v>6</v>
      </c>
      <c r="P493" s="27" t="s">
        <v>71</v>
      </c>
      <c r="Q493" s="394">
        <v>0</v>
      </c>
      <c r="R493" s="394">
        <v>0</v>
      </c>
      <c r="S493" s="394">
        <v>0</v>
      </c>
      <c r="T493" s="394">
        <v>0</v>
      </c>
      <c r="U493" s="394">
        <v>0</v>
      </c>
      <c r="V493" s="394">
        <v>0</v>
      </c>
      <c r="W493" s="394">
        <v>0</v>
      </c>
      <c r="X493" s="398"/>
      <c r="AC493" s="26">
        <v>6</v>
      </c>
      <c r="AD493" s="27" t="s">
        <v>71</v>
      </c>
      <c r="AE493" s="394" t="s">
        <v>20</v>
      </c>
      <c r="AF493" s="394" t="s">
        <v>20</v>
      </c>
      <c r="AG493" s="394" t="s">
        <v>20</v>
      </c>
      <c r="AH493" s="394" t="s">
        <v>20</v>
      </c>
      <c r="AI493" s="394" t="s">
        <v>20</v>
      </c>
      <c r="AJ493" s="394" t="s">
        <v>20</v>
      </c>
      <c r="AK493" s="394" t="s">
        <v>20</v>
      </c>
      <c r="AL493" s="347"/>
    </row>
    <row r="494" spans="1:38" ht="24.95" customHeight="1">
      <c r="A494" s="26">
        <v>7</v>
      </c>
      <c r="B494" s="27" t="s">
        <v>72</v>
      </c>
      <c r="C494" s="394">
        <v>0</v>
      </c>
      <c r="D494" s="394">
        <v>0</v>
      </c>
      <c r="E494" s="394">
        <v>0</v>
      </c>
      <c r="F494" s="394">
        <v>0</v>
      </c>
      <c r="G494" s="394">
        <v>0</v>
      </c>
      <c r="H494" s="394">
        <v>0</v>
      </c>
      <c r="I494" s="394">
        <v>0</v>
      </c>
      <c r="J494" s="398"/>
      <c r="K494" s="337"/>
      <c r="O494" s="26">
        <v>7</v>
      </c>
      <c r="P494" s="27" t="s">
        <v>72</v>
      </c>
      <c r="Q494" s="394">
        <v>0</v>
      </c>
      <c r="R494" s="394">
        <v>0</v>
      </c>
      <c r="S494" s="394">
        <v>0</v>
      </c>
      <c r="T494" s="394">
        <v>0</v>
      </c>
      <c r="U494" s="394">
        <v>0</v>
      </c>
      <c r="V494" s="394">
        <v>0</v>
      </c>
      <c r="W494" s="394">
        <v>0</v>
      </c>
      <c r="X494" s="398"/>
      <c r="AC494" s="26">
        <v>7</v>
      </c>
      <c r="AD494" s="27" t="s">
        <v>72</v>
      </c>
      <c r="AE494" s="394" t="s">
        <v>20</v>
      </c>
      <c r="AF494" s="394" t="s">
        <v>20</v>
      </c>
      <c r="AG494" s="394" t="s">
        <v>20</v>
      </c>
      <c r="AH494" s="394" t="s">
        <v>20</v>
      </c>
      <c r="AI494" s="394" t="s">
        <v>20</v>
      </c>
      <c r="AJ494" s="394" t="s">
        <v>20</v>
      </c>
      <c r="AK494" s="394" t="s">
        <v>20</v>
      </c>
      <c r="AL494" s="398"/>
    </row>
    <row r="495" spans="1:38" ht="24.95" customHeight="1">
      <c r="A495" s="26">
        <v>8</v>
      </c>
      <c r="B495" s="27" t="s">
        <v>73</v>
      </c>
      <c r="C495" s="394">
        <v>0</v>
      </c>
      <c r="D495" s="394">
        <v>0</v>
      </c>
      <c r="E495" s="394">
        <v>0</v>
      </c>
      <c r="F495" s="394">
        <v>0</v>
      </c>
      <c r="G495" s="394">
        <v>0</v>
      </c>
      <c r="H495" s="394">
        <v>0</v>
      </c>
      <c r="I495" s="394">
        <v>0</v>
      </c>
      <c r="J495" s="398"/>
      <c r="K495" s="337"/>
      <c r="O495" s="26">
        <v>8</v>
      </c>
      <c r="P495" s="27" t="s">
        <v>73</v>
      </c>
      <c r="Q495" s="394">
        <v>0</v>
      </c>
      <c r="R495" s="394">
        <v>0</v>
      </c>
      <c r="S495" s="394">
        <v>0</v>
      </c>
      <c r="T495" s="394">
        <v>0</v>
      </c>
      <c r="U495" s="394">
        <v>0</v>
      </c>
      <c r="V495" s="394">
        <v>0</v>
      </c>
      <c r="W495" s="394">
        <v>0</v>
      </c>
      <c r="X495" s="398"/>
      <c r="AC495" s="26">
        <v>8</v>
      </c>
      <c r="AD495" s="27" t="s">
        <v>73</v>
      </c>
      <c r="AE495" s="394" t="s">
        <v>20</v>
      </c>
      <c r="AF495" s="394" t="s">
        <v>20</v>
      </c>
      <c r="AG495" s="394" t="s">
        <v>20</v>
      </c>
      <c r="AH495" s="394" t="s">
        <v>20</v>
      </c>
      <c r="AI495" s="394" t="s">
        <v>20</v>
      </c>
      <c r="AJ495" s="394" t="s">
        <v>20</v>
      </c>
      <c r="AK495" s="394" t="s">
        <v>20</v>
      </c>
      <c r="AL495" s="398"/>
    </row>
    <row r="496" spans="1:38" ht="24.95" customHeight="1">
      <c r="A496" s="26">
        <v>9</v>
      </c>
      <c r="B496" s="27" t="s">
        <v>74</v>
      </c>
      <c r="C496" s="394">
        <v>0</v>
      </c>
      <c r="D496" s="394">
        <v>0</v>
      </c>
      <c r="E496" s="394">
        <v>0</v>
      </c>
      <c r="F496" s="394">
        <v>0</v>
      </c>
      <c r="G496" s="394">
        <v>0</v>
      </c>
      <c r="H496" s="394">
        <v>0</v>
      </c>
      <c r="I496" s="394">
        <v>0</v>
      </c>
      <c r="J496" s="398"/>
      <c r="K496" s="337"/>
      <c r="O496" s="26">
        <v>9</v>
      </c>
      <c r="P496" s="27" t="s">
        <v>74</v>
      </c>
      <c r="Q496" s="394">
        <v>0</v>
      </c>
      <c r="R496" s="394">
        <v>0</v>
      </c>
      <c r="S496" s="394">
        <v>0</v>
      </c>
      <c r="T496" s="394">
        <v>0</v>
      </c>
      <c r="U496" s="394">
        <v>0</v>
      </c>
      <c r="V496" s="394">
        <v>0</v>
      </c>
      <c r="W496" s="394">
        <v>0</v>
      </c>
      <c r="X496" s="398"/>
      <c r="AC496" s="26">
        <v>9</v>
      </c>
      <c r="AD496" s="27" t="s">
        <v>74</v>
      </c>
      <c r="AE496" s="394" t="s">
        <v>20</v>
      </c>
      <c r="AF496" s="394" t="s">
        <v>20</v>
      </c>
      <c r="AG496" s="394" t="s">
        <v>20</v>
      </c>
      <c r="AH496" s="394" t="s">
        <v>20</v>
      </c>
      <c r="AI496" s="394" t="s">
        <v>20</v>
      </c>
      <c r="AJ496" s="394" t="s">
        <v>20</v>
      </c>
      <c r="AK496" s="394" t="s">
        <v>20</v>
      </c>
      <c r="AL496" s="398"/>
    </row>
    <row r="497" spans="1:38" ht="24.95" customHeight="1">
      <c r="A497" s="26">
        <v>10</v>
      </c>
      <c r="B497" s="610" t="s">
        <v>75</v>
      </c>
      <c r="C497" s="394">
        <f>58-2</f>
        <v>56</v>
      </c>
      <c r="D497" s="394">
        <f>111+2</f>
        <v>113</v>
      </c>
      <c r="E497" s="394">
        <f>149-3</f>
        <v>146</v>
      </c>
      <c r="F497" s="394">
        <f>E497+D497+C497</f>
        <v>315</v>
      </c>
      <c r="G497" s="564">
        <f>H497/1000*D497</f>
        <v>50.058999999999997</v>
      </c>
      <c r="H497" s="394">
        <v>443</v>
      </c>
      <c r="I497" s="394">
        <v>125</v>
      </c>
      <c r="J497" s="398">
        <f>F497-T497</f>
        <v>0</v>
      </c>
      <c r="K497" s="337">
        <f>C497-Q497</f>
        <v>-2</v>
      </c>
      <c r="L497" s="337">
        <f t="shared" ref="L497:M498" si="188">D497-R497</f>
        <v>2</v>
      </c>
      <c r="M497" s="337">
        <f t="shared" si="188"/>
        <v>0</v>
      </c>
      <c r="N497" s="273">
        <f>I497-W497</f>
        <v>0</v>
      </c>
      <c r="O497" s="26">
        <v>10</v>
      </c>
      <c r="P497" s="340" t="s">
        <v>75</v>
      </c>
      <c r="Q497" s="394">
        <f>60-2</f>
        <v>58</v>
      </c>
      <c r="R497" s="394">
        <f>109+2</f>
        <v>111</v>
      </c>
      <c r="S497" s="394">
        <f>149-3</f>
        <v>146</v>
      </c>
      <c r="T497" s="394">
        <f>S497+R497+Q497</f>
        <v>315</v>
      </c>
      <c r="U497" s="421">
        <f>V497/1000*R497</f>
        <v>49.173000000000002</v>
      </c>
      <c r="V497" s="394">
        <v>443</v>
      </c>
      <c r="W497" s="394">
        <v>125</v>
      </c>
      <c r="X497" s="398">
        <f>T497-AH497</f>
        <v>0</v>
      </c>
      <c r="Y497" s="273">
        <f>Q497-AE497</f>
        <v>-4</v>
      </c>
      <c r="Z497" s="273">
        <f t="shared" ref="Z497:AB498" si="189">R497-AF497</f>
        <v>7</v>
      </c>
      <c r="AA497" s="273">
        <f t="shared" si="189"/>
        <v>-3</v>
      </c>
      <c r="AB497" s="273">
        <f t="shared" si="189"/>
        <v>0</v>
      </c>
      <c r="AC497" s="26">
        <v>10</v>
      </c>
      <c r="AD497" s="27" t="s">
        <v>75</v>
      </c>
      <c r="AE497" s="394">
        <f>64-2</f>
        <v>62</v>
      </c>
      <c r="AF497" s="394">
        <f>102+2</f>
        <v>104</v>
      </c>
      <c r="AG497" s="394">
        <v>149</v>
      </c>
      <c r="AH497" s="394">
        <f>AG497+AF497+AE497</f>
        <v>315</v>
      </c>
      <c r="AI497" s="421">
        <f>AJ497/1000*AF497</f>
        <v>46.072000000000003</v>
      </c>
      <c r="AJ497" s="394">
        <v>443</v>
      </c>
      <c r="AK497" s="394">
        <v>125</v>
      </c>
      <c r="AL497" s="347"/>
    </row>
    <row r="498" spans="1:38" ht="24.95" customHeight="1">
      <c r="A498" s="26">
        <v>11</v>
      </c>
      <c r="B498" s="311" t="s">
        <v>76</v>
      </c>
      <c r="C498" s="394">
        <f>20-1</f>
        <v>19</v>
      </c>
      <c r="D498" s="394">
        <f>47+1</f>
        <v>48</v>
      </c>
      <c r="E498" s="394">
        <v>16</v>
      </c>
      <c r="F498" s="394">
        <f>E498+D498+C498</f>
        <v>83</v>
      </c>
      <c r="G498" s="564">
        <f>H498/1000*D498</f>
        <v>21.263999999999999</v>
      </c>
      <c r="H498" s="394">
        <v>443</v>
      </c>
      <c r="I498" s="394">
        <v>110</v>
      </c>
      <c r="J498" s="398">
        <f>F498-T498</f>
        <v>0</v>
      </c>
      <c r="K498" s="337">
        <f>C498-Q498</f>
        <v>0</v>
      </c>
      <c r="L498" s="337">
        <f t="shared" si="188"/>
        <v>0</v>
      </c>
      <c r="M498" s="337">
        <f t="shared" si="188"/>
        <v>0</v>
      </c>
      <c r="N498" s="273">
        <f>I498-W498</f>
        <v>0</v>
      </c>
      <c r="O498" s="26">
        <v>11</v>
      </c>
      <c r="P498" s="342" t="s">
        <v>76</v>
      </c>
      <c r="Q498" s="394">
        <f>20-1</f>
        <v>19</v>
      </c>
      <c r="R498" s="394">
        <f>47+1</f>
        <v>48</v>
      </c>
      <c r="S498" s="394">
        <v>16</v>
      </c>
      <c r="T498" s="394">
        <f>S498+R498+Q498</f>
        <v>83</v>
      </c>
      <c r="U498" s="421">
        <f>V498/1000*R498</f>
        <v>21.263999999999999</v>
      </c>
      <c r="V498" s="394">
        <v>443</v>
      </c>
      <c r="W498" s="394">
        <v>110</v>
      </c>
      <c r="X498" s="398">
        <f>T498-AH498</f>
        <v>0</v>
      </c>
      <c r="Y498" s="273">
        <f>Q498-AE498</f>
        <v>-32</v>
      </c>
      <c r="Z498" s="273">
        <f t="shared" si="189"/>
        <v>32</v>
      </c>
      <c r="AA498" s="273">
        <f t="shared" si="189"/>
        <v>0</v>
      </c>
      <c r="AB498" s="273">
        <f t="shared" si="189"/>
        <v>0</v>
      </c>
      <c r="AC498" s="26">
        <v>11</v>
      </c>
      <c r="AD498" s="35" t="s">
        <v>76</v>
      </c>
      <c r="AE498" s="394">
        <v>51</v>
      </c>
      <c r="AF498" s="394">
        <v>16</v>
      </c>
      <c r="AG498" s="394">
        <v>16</v>
      </c>
      <c r="AH498" s="394">
        <f>AG498+AF498+AE498</f>
        <v>83</v>
      </c>
      <c r="AI498" s="421">
        <f>AJ498/1000*AF498</f>
        <v>7.0880000000000001</v>
      </c>
      <c r="AJ498" s="394">
        <v>443</v>
      </c>
      <c r="AK498" s="394">
        <v>110</v>
      </c>
      <c r="AL498" s="347"/>
    </row>
    <row r="499" spans="1:38" ht="24.95" customHeight="1">
      <c r="A499" s="664" t="s">
        <v>77</v>
      </c>
      <c r="B499" s="665"/>
      <c r="C499" s="447">
        <f>SUM(C488:C498)</f>
        <v>75</v>
      </c>
      <c r="D499" s="37">
        <f>SUM(D488:D498)</f>
        <v>161</v>
      </c>
      <c r="E499" s="447">
        <f>SUM(E488:E498)</f>
        <v>162</v>
      </c>
      <c r="F499" s="37">
        <f>SUM(F488:F498)</f>
        <v>398</v>
      </c>
      <c r="G499" s="448">
        <f>H499/1000*D499</f>
        <v>71.323000000000008</v>
      </c>
      <c r="H499" s="37">
        <v>443</v>
      </c>
      <c r="I499" s="451">
        <f>SUM(I488:I498)</f>
        <v>235</v>
      </c>
      <c r="J499" s="432"/>
      <c r="K499" s="337"/>
      <c r="O499" s="664" t="s">
        <v>77</v>
      </c>
      <c r="P499" s="665"/>
      <c r="Q499" s="447">
        <f>SUM(Q488:Q498)</f>
        <v>77</v>
      </c>
      <c r="R499" s="37">
        <f>SUM(R488:R498)</f>
        <v>159</v>
      </c>
      <c r="S499" s="447">
        <f>SUM(S488:S498)</f>
        <v>162</v>
      </c>
      <c r="T499" s="37">
        <f>SUM(T488:T498)</f>
        <v>398</v>
      </c>
      <c r="U499" s="448">
        <f>V499/1000*R499</f>
        <v>70.436999999999998</v>
      </c>
      <c r="V499" s="37">
        <v>443</v>
      </c>
      <c r="W499" s="451">
        <f>SUM(W488:W498)</f>
        <v>235</v>
      </c>
      <c r="X499" s="432"/>
      <c r="AC499" s="664" t="s">
        <v>77</v>
      </c>
      <c r="AD499" s="665"/>
      <c r="AE499" s="447">
        <f>SUM(AE488:AE498)</f>
        <v>113</v>
      </c>
      <c r="AF499" s="37">
        <f>SUM(AF488:AF498)</f>
        <v>120</v>
      </c>
      <c r="AG499" s="447">
        <f>SUM(AG488:AG498)</f>
        <v>165</v>
      </c>
      <c r="AH499" s="37">
        <f>SUM(AH488:AH498)</f>
        <v>398</v>
      </c>
      <c r="AI499" s="448">
        <f>AJ499/1000*AF499</f>
        <v>53.160000000000004</v>
      </c>
      <c r="AJ499" s="37">
        <v>443</v>
      </c>
      <c r="AK499" s="451">
        <f>SUM(AK488:AK498)</f>
        <v>235</v>
      </c>
      <c r="AL499" s="399"/>
    </row>
    <row r="500" spans="1:38" ht="24.95" customHeight="1">
      <c r="C500" s="273">
        <f>C499-Q499</f>
        <v>-2</v>
      </c>
      <c r="D500" s="273">
        <f t="shared" ref="D500:I500" si="190">D499-R499</f>
        <v>2</v>
      </c>
      <c r="E500" s="273">
        <f t="shared" si="190"/>
        <v>0</v>
      </c>
      <c r="F500" s="273">
        <f t="shared" si="190"/>
        <v>0</v>
      </c>
      <c r="G500" s="273">
        <f t="shared" si="190"/>
        <v>0.88600000000000989</v>
      </c>
      <c r="H500" s="273">
        <f t="shared" si="190"/>
        <v>0</v>
      </c>
      <c r="I500" s="273">
        <f t="shared" si="190"/>
        <v>0</v>
      </c>
      <c r="Q500" s="273">
        <f>Q499-AE499</f>
        <v>-36</v>
      </c>
      <c r="R500" s="273">
        <f t="shared" ref="R500:W500" si="191">R499-AF499</f>
        <v>39</v>
      </c>
      <c r="S500" s="273">
        <f t="shared" si="191"/>
        <v>-3</v>
      </c>
      <c r="T500" s="273">
        <f t="shared" si="191"/>
        <v>0</v>
      </c>
      <c r="U500" s="273">
        <f t="shared" si="191"/>
        <v>17.276999999999994</v>
      </c>
      <c r="V500" s="273">
        <f t="shared" si="191"/>
        <v>0</v>
      </c>
      <c r="W500" s="273">
        <f t="shared" si="191"/>
        <v>0</v>
      </c>
    </row>
    <row r="501" spans="1:38" ht="24.95" customHeight="1">
      <c r="B501" s="385"/>
      <c r="C501" s="118"/>
      <c r="D501" s="118"/>
      <c r="E501" s="118"/>
      <c r="F501" s="118"/>
      <c r="G501" s="1"/>
      <c r="P501" s="385"/>
      <c r="Q501" s="118"/>
      <c r="R501" s="118"/>
      <c r="S501" s="118"/>
      <c r="T501" s="118"/>
      <c r="U501" s="1"/>
      <c r="AD501" s="385"/>
      <c r="AE501" s="118"/>
      <c r="AF501" s="118"/>
      <c r="AG501" s="118"/>
      <c r="AH501" s="118"/>
      <c r="AI501" s="1" t="s">
        <v>104</v>
      </c>
    </row>
    <row r="502" spans="1:38" ht="24.95" customHeight="1">
      <c r="B502" s="1" t="s">
        <v>12</v>
      </c>
      <c r="C502" s="434" t="s">
        <v>33</v>
      </c>
      <c r="G502" s="650"/>
      <c r="H502" s="637"/>
      <c r="I502" s="637"/>
      <c r="J502" s="637"/>
      <c r="K502" s="48"/>
      <c r="P502" s="1" t="s">
        <v>12</v>
      </c>
      <c r="Q502" s="434" t="s">
        <v>33</v>
      </c>
      <c r="U502" s="650"/>
      <c r="V502" s="637"/>
      <c r="W502" s="637"/>
      <c r="X502" s="637"/>
      <c r="AI502" s="266" t="s">
        <v>105</v>
      </c>
      <c r="AJ502" s="323"/>
      <c r="AK502" s="323"/>
      <c r="AL502" s="323"/>
    </row>
    <row r="503" spans="1:38" ht="24.95" customHeight="1">
      <c r="B503" s="1" t="s">
        <v>13</v>
      </c>
      <c r="C503" s="434" t="s">
        <v>34</v>
      </c>
      <c r="G503" s="1"/>
      <c r="P503" s="1" t="s">
        <v>13</v>
      </c>
      <c r="Q503" s="434" t="s">
        <v>34</v>
      </c>
      <c r="U503" s="1"/>
      <c r="AI503" s="1" t="s">
        <v>106</v>
      </c>
    </row>
    <row r="504" spans="1:38" ht="24.95" customHeight="1">
      <c r="B504" s="1" t="s">
        <v>14</v>
      </c>
      <c r="C504" s="434" t="s">
        <v>35</v>
      </c>
      <c r="G504" s="650"/>
      <c r="H504" s="650"/>
      <c r="I504" s="650"/>
      <c r="J504" s="650"/>
      <c r="K504" s="47"/>
      <c r="P504" s="1" t="s">
        <v>14</v>
      </c>
      <c r="Q504" s="434" t="s">
        <v>35</v>
      </c>
      <c r="U504" s="650"/>
      <c r="V504" s="650"/>
      <c r="W504" s="650"/>
      <c r="X504" s="650"/>
      <c r="AI504" s="650"/>
      <c r="AJ504" s="650"/>
      <c r="AK504" s="650"/>
      <c r="AL504" s="650"/>
    </row>
    <row r="505" spans="1:38">
      <c r="G505" s="48"/>
      <c r="H505" s="48"/>
      <c r="I505" s="48"/>
      <c r="J505" s="48"/>
      <c r="K505" s="48"/>
      <c r="U505" s="48"/>
      <c r="V505" s="48"/>
      <c r="W505" s="48"/>
      <c r="X505" s="48"/>
      <c r="AI505" s="48"/>
      <c r="AJ505" s="48"/>
      <c r="AK505" s="48"/>
      <c r="AL505" s="48"/>
    </row>
    <row r="506" spans="1:38">
      <c r="G506" s="637"/>
      <c r="H506" s="637"/>
      <c r="I506" s="637"/>
      <c r="J506" s="637"/>
      <c r="K506" s="48"/>
      <c r="U506" s="637"/>
      <c r="V506" s="637"/>
      <c r="W506" s="637"/>
      <c r="X506" s="637"/>
      <c r="AI506" s="637"/>
      <c r="AJ506" s="637"/>
      <c r="AK506" s="637"/>
      <c r="AL506" s="637"/>
    </row>
    <row r="520" spans="1:38" ht="24.95" customHeight="1"/>
    <row r="521" spans="1:38" ht="24.95" customHeight="1"/>
    <row r="522" spans="1:38" ht="24.95" customHeight="1"/>
    <row r="523" spans="1:38" ht="24.95" customHeight="1"/>
    <row r="524" spans="1:38" ht="24.95" customHeight="1">
      <c r="G524" s="48"/>
      <c r="H524" s="48"/>
      <c r="I524" s="48"/>
      <c r="J524" s="48"/>
      <c r="K524" s="48"/>
      <c r="U524" s="48"/>
      <c r="V524" s="48"/>
      <c r="W524" s="48"/>
      <c r="X524" s="48"/>
      <c r="AI524" s="48"/>
      <c r="AJ524" s="48"/>
      <c r="AK524" s="48"/>
      <c r="AL524" s="48"/>
    </row>
    <row r="525" spans="1:38" ht="24.95" customHeight="1">
      <c r="A525" s="632" t="s">
        <v>59</v>
      </c>
      <c r="B525" s="632"/>
      <c r="C525" s="632"/>
      <c r="D525" s="632"/>
      <c r="E525" s="632"/>
      <c r="F525" s="632"/>
      <c r="G525" s="632"/>
      <c r="H525" s="632"/>
      <c r="I525" s="632"/>
      <c r="J525" s="632"/>
      <c r="K525" s="296"/>
      <c r="O525" s="632" t="s">
        <v>59</v>
      </c>
      <c r="P525" s="632"/>
      <c r="Q525" s="632"/>
      <c r="R525" s="632"/>
      <c r="S525" s="632"/>
      <c r="T525" s="632"/>
      <c r="U525" s="632"/>
      <c r="V525" s="632"/>
      <c r="W525" s="632"/>
      <c r="X525" s="632"/>
      <c r="AC525" s="663" t="s">
        <v>59</v>
      </c>
      <c r="AD525" s="663"/>
      <c r="AE525" s="663"/>
      <c r="AF525" s="663"/>
      <c r="AG525" s="663"/>
      <c r="AH525" s="663"/>
      <c r="AI525" s="663"/>
      <c r="AJ525" s="663"/>
      <c r="AK525" s="663"/>
      <c r="AL525" s="663"/>
    </row>
    <row r="526" spans="1:38" ht="24.95" customHeight="1">
      <c r="A526" s="632" t="s">
        <v>1</v>
      </c>
      <c r="B526" s="632"/>
      <c r="C526" s="632"/>
      <c r="D526" s="632"/>
      <c r="E526" s="632"/>
      <c r="F526" s="632"/>
      <c r="G526" s="632"/>
      <c r="H526" s="632"/>
      <c r="I526" s="632"/>
      <c r="J526" s="632"/>
      <c r="K526" s="296"/>
      <c r="O526" s="632" t="s">
        <v>1</v>
      </c>
      <c r="P526" s="632"/>
      <c r="Q526" s="632"/>
      <c r="R526" s="632"/>
      <c r="S526" s="632"/>
      <c r="T526" s="632"/>
      <c r="U526" s="632"/>
      <c r="V526" s="632"/>
      <c r="W526" s="632"/>
      <c r="X526" s="632"/>
      <c r="AC526" s="663" t="s">
        <v>1</v>
      </c>
      <c r="AD526" s="663"/>
      <c r="AE526" s="663"/>
      <c r="AF526" s="663"/>
      <c r="AG526" s="663"/>
      <c r="AH526" s="663"/>
      <c r="AI526" s="663"/>
      <c r="AJ526" s="663"/>
      <c r="AK526" s="663"/>
      <c r="AL526" s="663"/>
    </row>
    <row r="527" spans="1:38" ht="24.95" customHeight="1">
      <c r="A527" s="632" t="s">
        <v>206</v>
      </c>
      <c r="B527" s="632"/>
      <c r="C527" s="632"/>
      <c r="D527" s="632"/>
      <c r="E527" s="632"/>
      <c r="F527" s="632"/>
      <c r="G527" s="632"/>
      <c r="H527" s="632"/>
      <c r="I527" s="632"/>
      <c r="J527" s="632"/>
      <c r="K527" s="623"/>
      <c r="O527" s="632" t="s">
        <v>60</v>
      </c>
      <c r="P527" s="632"/>
      <c r="Q527" s="632"/>
      <c r="R527" s="632"/>
      <c r="S527" s="632"/>
      <c r="T527" s="632"/>
      <c r="U527" s="632"/>
      <c r="V527" s="632"/>
      <c r="W527" s="632"/>
      <c r="X527" s="632"/>
      <c r="AC527" s="663" t="s">
        <v>107</v>
      </c>
      <c r="AD527" s="663"/>
      <c r="AE527" s="663"/>
      <c r="AF527" s="663"/>
      <c r="AG527" s="663"/>
      <c r="AH527" s="663"/>
      <c r="AI527" s="663"/>
      <c r="AJ527" s="663"/>
      <c r="AK527" s="663"/>
      <c r="AL527" s="663"/>
    </row>
    <row r="528" spans="1:38" ht="24.95" customHeight="1"/>
    <row r="529" spans="1:38" ht="24.95" customHeight="1">
      <c r="A529" t="s">
        <v>61</v>
      </c>
      <c r="C529" s="1" t="s">
        <v>29</v>
      </c>
      <c r="O529" t="s">
        <v>61</v>
      </c>
      <c r="Q529" s="1" t="s">
        <v>29</v>
      </c>
      <c r="AC529" t="s">
        <v>61</v>
      </c>
      <c r="AE529" s="1" t="s">
        <v>114</v>
      </c>
    </row>
    <row r="530" spans="1:38" ht="24.95" customHeight="1">
      <c r="A530" s="1"/>
      <c r="E530" s="1"/>
      <c r="O530" s="1"/>
      <c r="S530" s="1"/>
      <c r="AC530" s="1"/>
      <c r="AG530" s="1"/>
    </row>
    <row r="531" spans="1:38" ht="30" customHeight="1">
      <c r="A531" s="297" t="s">
        <v>4</v>
      </c>
      <c r="B531" s="298" t="s">
        <v>63</v>
      </c>
      <c r="C531" s="298" t="s">
        <v>12</v>
      </c>
      <c r="D531" s="298" t="s">
        <v>13</v>
      </c>
      <c r="E531" s="298" t="s">
        <v>14</v>
      </c>
      <c r="F531" s="299" t="s">
        <v>86</v>
      </c>
      <c r="G531" s="299" t="s">
        <v>8</v>
      </c>
      <c r="H531" s="299" t="s">
        <v>9</v>
      </c>
      <c r="I531" s="299" t="s">
        <v>10</v>
      </c>
      <c r="J531" s="330" t="s">
        <v>11</v>
      </c>
      <c r="K531" s="430"/>
      <c r="O531" s="297" t="s">
        <v>4</v>
      </c>
      <c r="P531" s="298" t="s">
        <v>63</v>
      </c>
      <c r="Q531" s="298" t="s">
        <v>12</v>
      </c>
      <c r="R531" s="298" t="s">
        <v>13</v>
      </c>
      <c r="S531" s="298" t="s">
        <v>14</v>
      </c>
      <c r="T531" s="299" t="s">
        <v>86</v>
      </c>
      <c r="U531" s="299" t="s">
        <v>8</v>
      </c>
      <c r="V531" s="299" t="s">
        <v>9</v>
      </c>
      <c r="W531" s="299" t="s">
        <v>10</v>
      </c>
      <c r="X531" s="330" t="s">
        <v>11</v>
      </c>
      <c r="Z531" s="357" t="s">
        <v>103</v>
      </c>
      <c r="AC531" s="297" t="s">
        <v>4</v>
      </c>
      <c r="AD531" s="298" t="s">
        <v>63</v>
      </c>
      <c r="AE531" s="298" t="s">
        <v>12</v>
      </c>
      <c r="AF531" s="298" t="s">
        <v>13</v>
      </c>
      <c r="AG531" s="298" t="s">
        <v>14</v>
      </c>
      <c r="AH531" s="299" t="s">
        <v>86</v>
      </c>
      <c r="AI531" s="299" t="s">
        <v>8</v>
      </c>
      <c r="AJ531" s="299" t="s">
        <v>9</v>
      </c>
      <c r="AK531" s="299" t="s">
        <v>10</v>
      </c>
      <c r="AL531" s="330" t="s">
        <v>11</v>
      </c>
    </row>
    <row r="532" spans="1:38" ht="24.95" customHeight="1">
      <c r="A532" s="300">
        <v>1</v>
      </c>
      <c r="B532" s="301">
        <v>2</v>
      </c>
      <c r="C532" s="301">
        <v>3</v>
      </c>
      <c r="D532" s="301">
        <v>4</v>
      </c>
      <c r="E532" s="301">
        <v>5</v>
      </c>
      <c r="F532" s="301">
        <v>6</v>
      </c>
      <c r="G532" s="301">
        <v>7</v>
      </c>
      <c r="H532" s="301">
        <v>8</v>
      </c>
      <c r="I532" s="301">
        <v>9</v>
      </c>
      <c r="J532" s="333">
        <v>10</v>
      </c>
      <c r="K532" s="334" t="s">
        <v>12</v>
      </c>
      <c r="L532" s="1" t="s">
        <v>13</v>
      </c>
      <c r="M532" s="1" t="s">
        <v>14</v>
      </c>
      <c r="N532" s="1" t="s">
        <v>65</v>
      </c>
      <c r="O532" s="300">
        <v>1</v>
      </c>
      <c r="P532" s="301">
        <v>2</v>
      </c>
      <c r="Q532" s="301">
        <v>3</v>
      </c>
      <c r="R532" s="301">
        <v>4</v>
      </c>
      <c r="S532" s="301">
        <v>5</v>
      </c>
      <c r="T532" s="301">
        <v>6</v>
      </c>
      <c r="U532" s="301">
        <v>7</v>
      </c>
      <c r="V532" s="301">
        <v>8</v>
      </c>
      <c r="W532" s="301">
        <v>9</v>
      </c>
      <c r="X532" s="333">
        <v>10</v>
      </c>
      <c r="AC532" s="300">
        <v>1</v>
      </c>
      <c r="AD532" s="301">
        <v>2</v>
      </c>
      <c r="AE532" s="301">
        <v>3</v>
      </c>
      <c r="AF532" s="301">
        <v>4</v>
      </c>
      <c r="AG532" s="301">
        <v>5</v>
      </c>
      <c r="AH532" s="301">
        <v>6</v>
      </c>
      <c r="AI532" s="301">
        <v>7</v>
      </c>
      <c r="AJ532" s="301">
        <v>8</v>
      </c>
      <c r="AK532" s="301">
        <v>9</v>
      </c>
      <c r="AL532" s="333">
        <v>10</v>
      </c>
    </row>
    <row r="533" spans="1:38" ht="24.95" customHeight="1">
      <c r="A533" s="16">
        <v>1</v>
      </c>
      <c r="B533" s="17" t="s">
        <v>82</v>
      </c>
      <c r="C533" s="394">
        <v>0</v>
      </c>
      <c r="D533" s="394">
        <v>0</v>
      </c>
      <c r="E533" s="394">
        <v>0</v>
      </c>
      <c r="F533" s="394">
        <v>0</v>
      </c>
      <c r="G533" s="394">
        <v>0</v>
      </c>
      <c r="H533" s="394">
        <v>0</v>
      </c>
      <c r="I533" s="394">
        <v>0</v>
      </c>
      <c r="J533" s="398"/>
      <c r="K533" s="337"/>
      <c r="O533" s="16">
        <v>1</v>
      </c>
      <c r="P533" s="17" t="s">
        <v>82</v>
      </c>
      <c r="Q533" s="394">
        <v>0</v>
      </c>
      <c r="R533" s="394">
        <v>0</v>
      </c>
      <c r="S533" s="394">
        <v>0</v>
      </c>
      <c r="T533" s="394">
        <v>0</v>
      </c>
      <c r="U533" s="394">
        <v>0</v>
      </c>
      <c r="V533" s="394">
        <v>0</v>
      </c>
      <c r="W533" s="394">
        <v>0</v>
      </c>
      <c r="X533" s="398"/>
      <c r="AC533" s="16">
        <v>1</v>
      </c>
      <c r="AD533" s="17" t="s">
        <v>82</v>
      </c>
      <c r="AE533" s="394" t="s">
        <v>20</v>
      </c>
      <c r="AF533" s="394" t="s">
        <v>20</v>
      </c>
      <c r="AG533" s="394" t="s">
        <v>20</v>
      </c>
      <c r="AH533" s="394" t="s">
        <v>20</v>
      </c>
      <c r="AI533" s="394" t="s">
        <v>20</v>
      </c>
      <c r="AJ533" s="394" t="s">
        <v>20</v>
      </c>
      <c r="AK533" s="394" t="s">
        <v>20</v>
      </c>
      <c r="AL533" s="347"/>
    </row>
    <row r="534" spans="1:38" ht="24.95" customHeight="1">
      <c r="A534" s="22">
        <v>2</v>
      </c>
      <c r="B534" s="23" t="s">
        <v>67</v>
      </c>
      <c r="C534" s="394">
        <v>0</v>
      </c>
      <c r="D534" s="394">
        <v>0</v>
      </c>
      <c r="E534" s="394">
        <v>0</v>
      </c>
      <c r="F534" s="394">
        <v>0</v>
      </c>
      <c r="G534" s="394">
        <v>0</v>
      </c>
      <c r="H534" s="394">
        <v>0</v>
      </c>
      <c r="I534" s="394">
        <v>0</v>
      </c>
      <c r="J534" s="398"/>
      <c r="K534" s="337"/>
      <c r="O534" s="22">
        <v>2</v>
      </c>
      <c r="P534" s="23" t="s">
        <v>67</v>
      </c>
      <c r="Q534" s="394">
        <v>0</v>
      </c>
      <c r="R534" s="394">
        <v>0</v>
      </c>
      <c r="S534" s="394">
        <v>0</v>
      </c>
      <c r="T534" s="394">
        <v>0</v>
      </c>
      <c r="U534" s="394">
        <v>0</v>
      </c>
      <c r="V534" s="394">
        <v>0</v>
      </c>
      <c r="W534" s="394">
        <v>0</v>
      </c>
      <c r="X534" s="398"/>
      <c r="AC534" s="22">
        <v>2</v>
      </c>
      <c r="AD534" s="23" t="s">
        <v>67</v>
      </c>
      <c r="AE534" s="394" t="s">
        <v>20</v>
      </c>
      <c r="AF534" s="394" t="s">
        <v>20</v>
      </c>
      <c r="AG534" s="394" t="s">
        <v>20</v>
      </c>
      <c r="AH534" s="394" t="s">
        <v>20</v>
      </c>
      <c r="AI534" s="394" t="s">
        <v>20</v>
      </c>
      <c r="AJ534" s="394" t="s">
        <v>20</v>
      </c>
      <c r="AK534" s="394" t="s">
        <v>20</v>
      </c>
      <c r="AL534" s="398"/>
    </row>
    <row r="535" spans="1:38" ht="24.95" customHeight="1">
      <c r="A535" s="26">
        <v>3</v>
      </c>
      <c r="B535" s="27" t="s">
        <v>68</v>
      </c>
      <c r="C535" s="394">
        <v>0</v>
      </c>
      <c r="D535" s="394">
        <v>0</v>
      </c>
      <c r="E535" s="394">
        <v>0</v>
      </c>
      <c r="F535" s="394">
        <v>0</v>
      </c>
      <c r="G535" s="394">
        <v>0</v>
      </c>
      <c r="H535" s="394">
        <v>0</v>
      </c>
      <c r="I535" s="394">
        <v>0</v>
      </c>
      <c r="J535" s="420"/>
      <c r="K535" s="337"/>
      <c r="O535" s="26">
        <v>3</v>
      </c>
      <c r="P535" s="27" t="s">
        <v>68</v>
      </c>
      <c r="Q535" s="394">
        <v>0</v>
      </c>
      <c r="R535" s="394">
        <v>0</v>
      </c>
      <c r="S535" s="394">
        <v>0</v>
      </c>
      <c r="T535" s="394">
        <v>0</v>
      </c>
      <c r="U535" s="394">
        <v>0</v>
      </c>
      <c r="V535" s="394">
        <v>0</v>
      </c>
      <c r="W535" s="394">
        <v>0</v>
      </c>
      <c r="X535" s="420"/>
      <c r="AC535" s="26">
        <v>3</v>
      </c>
      <c r="AD535" s="27" t="s">
        <v>68</v>
      </c>
      <c r="AE535" s="394" t="s">
        <v>20</v>
      </c>
      <c r="AF535" s="394" t="s">
        <v>20</v>
      </c>
      <c r="AG535" s="394" t="s">
        <v>20</v>
      </c>
      <c r="AH535" s="394" t="s">
        <v>20</v>
      </c>
      <c r="AI535" s="394" t="s">
        <v>20</v>
      </c>
      <c r="AJ535" s="394" t="s">
        <v>20</v>
      </c>
      <c r="AK535" s="394" t="s">
        <v>20</v>
      </c>
      <c r="AL535" s="420"/>
    </row>
    <row r="536" spans="1:38" ht="24.95" customHeight="1">
      <c r="A536" s="26">
        <v>4</v>
      </c>
      <c r="B536" s="27" t="s">
        <v>69</v>
      </c>
      <c r="C536" s="394">
        <v>0</v>
      </c>
      <c r="D536" s="394">
        <v>0</v>
      </c>
      <c r="E536" s="394">
        <v>0</v>
      </c>
      <c r="F536" s="394">
        <v>0</v>
      </c>
      <c r="G536" s="394">
        <v>0</v>
      </c>
      <c r="H536" s="394">
        <v>0</v>
      </c>
      <c r="I536" s="394">
        <v>0</v>
      </c>
      <c r="J536" s="398"/>
      <c r="K536" s="337"/>
      <c r="O536" s="26">
        <v>4</v>
      </c>
      <c r="P536" s="27" t="s">
        <v>69</v>
      </c>
      <c r="Q536" s="394">
        <v>0</v>
      </c>
      <c r="R536" s="394">
        <v>0</v>
      </c>
      <c r="S536" s="394">
        <v>0</v>
      </c>
      <c r="T536" s="394">
        <v>0</v>
      </c>
      <c r="U536" s="394">
        <v>0</v>
      </c>
      <c r="V536" s="394">
        <v>0</v>
      </c>
      <c r="W536" s="394">
        <v>0</v>
      </c>
      <c r="X536" s="398"/>
      <c r="AC536" s="26">
        <v>4</v>
      </c>
      <c r="AD536" s="27" t="s">
        <v>69</v>
      </c>
      <c r="AE536" s="394" t="s">
        <v>20</v>
      </c>
      <c r="AF536" s="394" t="s">
        <v>20</v>
      </c>
      <c r="AG536" s="394" t="s">
        <v>20</v>
      </c>
      <c r="AH536" s="394" t="s">
        <v>20</v>
      </c>
      <c r="AI536" s="394" t="s">
        <v>20</v>
      </c>
      <c r="AJ536" s="394" t="s">
        <v>20</v>
      </c>
      <c r="AK536" s="394" t="s">
        <v>20</v>
      </c>
      <c r="AL536" s="347"/>
    </row>
    <row r="537" spans="1:38" ht="24.95" customHeight="1">
      <c r="A537" s="26">
        <v>5</v>
      </c>
      <c r="B537" s="32" t="s">
        <v>70</v>
      </c>
      <c r="C537" s="394">
        <v>0</v>
      </c>
      <c r="D537" s="394">
        <v>1</v>
      </c>
      <c r="E537" s="394">
        <v>2</v>
      </c>
      <c r="F537" s="394">
        <f>E537+D537</f>
        <v>3</v>
      </c>
      <c r="G537" s="421">
        <f>H537/1000*D537</f>
        <v>0.3</v>
      </c>
      <c r="H537" s="394">
        <v>300</v>
      </c>
      <c r="I537" s="394">
        <v>12</v>
      </c>
      <c r="J537" s="398"/>
      <c r="K537" s="337"/>
      <c r="O537" s="26">
        <v>5</v>
      </c>
      <c r="P537" s="32" t="s">
        <v>70</v>
      </c>
      <c r="Q537" s="394">
        <v>0</v>
      </c>
      <c r="R537" s="394">
        <v>1</v>
      </c>
      <c r="S537" s="394">
        <v>2</v>
      </c>
      <c r="T537" s="394">
        <f>S537+R537</f>
        <v>3</v>
      </c>
      <c r="U537" s="421">
        <f>V537/1000*R537</f>
        <v>0.3</v>
      </c>
      <c r="V537" s="394">
        <v>300</v>
      </c>
      <c r="W537" s="394">
        <v>12</v>
      </c>
      <c r="X537" s="398"/>
      <c r="AC537" s="26">
        <v>5</v>
      </c>
      <c r="AD537" s="32" t="s">
        <v>70</v>
      </c>
      <c r="AE537" s="394" t="s">
        <v>20</v>
      </c>
      <c r="AF537" s="394">
        <v>1</v>
      </c>
      <c r="AG537" s="394">
        <v>2</v>
      </c>
      <c r="AH537" s="394">
        <f>AG537+AF537</f>
        <v>3</v>
      </c>
      <c r="AI537" s="421">
        <f>AJ537/1000*AF537</f>
        <v>0.3</v>
      </c>
      <c r="AJ537" s="394">
        <v>300</v>
      </c>
      <c r="AK537" s="394">
        <v>12</v>
      </c>
      <c r="AL537" s="347"/>
    </row>
    <row r="538" spans="1:38" ht="24.95" customHeight="1">
      <c r="A538" s="26">
        <v>6</v>
      </c>
      <c r="B538" s="27" t="s">
        <v>71</v>
      </c>
      <c r="C538" s="394">
        <v>0</v>
      </c>
      <c r="D538" s="394">
        <v>0</v>
      </c>
      <c r="E538" s="394">
        <v>0</v>
      </c>
      <c r="F538" s="394">
        <v>0</v>
      </c>
      <c r="G538" s="425">
        <v>0</v>
      </c>
      <c r="H538" s="394">
        <v>0</v>
      </c>
      <c r="I538" s="394">
        <v>0</v>
      </c>
      <c r="J538" s="398"/>
      <c r="K538" s="337"/>
      <c r="O538" s="26">
        <v>6</v>
      </c>
      <c r="P538" s="27" t="s">
        <v>71</v>
      </c>
      <c r="Q538" s="394">
        <v>0</v>
      </c>
      <c r="R538" s="394">
        <v>0</v>
      </c>
      <c r="S538" s="394">
        <v>0</v>
      </c>
      <c r="T538" s="394">
        <v>0</v>
      </c>
      <c r="U538" s="394">
        <v>0</v>
      </c>
      <c r="V538" s="394">
        <v>0</v>
      </c>
      <c r="W538" s="394">
        <v>0</v>
      </c>
      <c r="X538" s="398"/>
      <c r="AC538" s="26">
        <v>6</v>
      </c>
      <c r="AD538" s="27" t="s">
        <v>71</v>
      </c>
      <c r="AE538" s="394" t="s">
        <v>20</v>
      </c>
      <c r="AF538" s="394" t="s">
        <v>20</v>
      </c>
      <c r="AG538" s="394" t="s">
        <v>20</v>
      </c>
      <c r="AH538" s="394" t="s">
        <v>20</v>
      </c>
      <c r="AI538" s="394" t="s">
        <v>20</v>
      </c>
      <c r="AJ538" s="394" t="s">
        <v>20</v>
      </c>
      <c r="AK538" s="394" t="s">
        <v>20</v>
      </c>
      <c r="AL538" s="347"/>
    </row>
    <row r="539" spans="1:38" ht="24.95" customHeight="1">
      <c r="A539" s="26">
        <v>7</v>
      </c>
      <c r="B539" s="27" t="s">
        <v>72</v>
      </c>
      <c r="C539" s="394">
        <v>0</v>
      </c>
      <c r="D539" s="394">
        <v>0</v>
      </c>
      <c r="E539" s="394">
        <v>0</v>
      </c>
      <c r="F539" s="394">
        <v>0</v>
      </c>
      <c r="G539" s="425">
        <v>0</v>
      </c>
      <c r="H539" s="394">
        <v>0</v>
      </c>
      <c r="I539" s="394">
        <v>0</v>
      </c>
      <c r="J539" s="398"/>
      <c r="K539" s="337"/>
      <c r="O539" s="26">
        <v>7</v>
      </c>
      <c r="P539" s="27" t="s">
        <v>72</v>
      </c>
      <c r="Q539" s="394">
        <v>0</v>
      </c>
      <c r="R539" s="394">
        <v>0</v>
      </c>
      <c r="S539" s="394">
        <v>0</v>
      </c>
      <c r="T539" s="394">
        <v>0</v>
      </c>
      <c r="U539" s="394">
        <v>0</v>
      </c>
      <c r="V539" s="394">
        <v>0</v>
      </c>
      <c r="W539" s="394">
        <v>0</v>
      </c>
      <c r="X539" s="398"/>
      <c r="AC539" s="26">
        <v>7</v>
      </c>
      <c r="AD539" s="27" t="s">
        <v>72</v>
      </c>
      <c r="AE539" s="394" t="s">
        <v>20</v>
      </c>
      <c r="AF539" s="394" t="s">
        <v>20</v>
      </c>
      <c r="AG539" s="394" t="s">
        <v>20</v>
      </c>
      <c r="AH539" s="394" t="s">
        <v>20</v>
      </c>
      <c r="AI539" s="394" t="s">
        <v>20</v>
      </c>
      <c r="AJ539" s="394" t="s">
        <v>20</v>
      </c>
      <c r="AK539" s="394" t="s">
        <v>20</v>
      </c>
      <c r="AL539" s="398"/>
    </row>
    <row r="540" spans="1:38" ht="24.95" customHeight="1">
      <c r="A540" s="26">
        <v>8</v>
      </c>
      <c r="B540" s="27" t="s">
        <v>73</v>
      </c>
      <c r="C540" s="394">
        <v>0</v>
      </c>
      <c r="D540" s="394">
        <v>0</v>
      </c>
      <c r="E540" s="394">
        <v>0</v>
      </c>
      <c r="F540" s="394">
        <v>0</v>
      </c>
      <c r="G540" s="425">
        <v>0</v>
      </c>
      <c r="H540" s="394">
        <v>0</v>
      </c>
      <c r="I540" s="394">
        <v>0</v>
      </c>
      <c r="J540" s="398"/>
      <c r="K540" s="337"/>
      <c r="O540" s="26">
        <v>8</v>
      </c>
      <c r="P540" s="27" t="s">
        <v>73</v>
      </c>
      <c r="Q540" s="394">
        <v>0</v>
      </c>
      <c r="R540" s="394">
        <v>0</v>
      </c>
      <c r="S540" s="394">
        <v>0</v>
      </c>
      <c r="T540" s="394">
        <v>0</v>
      </c>
      <c r="U540" s="394">
        <v>0</v>
      </c>
      <c r="V540" s="394">
        <v>0</v>
      </c>
      <c r="W540" s="394">
        <v>0</v>
      </c>
      <c r="X540" s="398"/>
      <c r="AC540" s="26">
        <v>8</v>
      </c>
      <c r="AD540" s="27" t="s">
        <v>73</v>
      </c>
      <c r="AE540" s="394" t="s">
        <v>20</v>
      </c>
      <c r="AF540" s="394" t="s">
        <v>20</v>
      </c>
      <c r="AG540" s="394" t="s">
        <v>20</v>
      </c>
      <c r="AH540" s="394" t="s">
        <v>20</v>
      </c>
      <c r="AI540" s="394" t="s">
        <v>20</v>
      </c>
      <c r="AJ540" s="394" t="s">
        <v>20</v>
      </c>
      <c r="AK540" s="394" t="s">
        <v>20</v>
      </c>
      <c r="AL540" s="398"/>
    </row>
    <row r="541" spans="1:38" ht="24.95" customHeight="1">
      <c r="A541" s="26">
        <v>9</v>
      </c>
      <c r="B541" s="27" t="s">
        <v>74</v>
      </c>
      <c r="C541" s="394">
        <v>0</v>
      </c>
      <c r="D541" s="394">
        <v>0</v>
      </c>
      <c r="E541" s="394">
        <v>0</v>
      </c>
      <c r="F541" s="394">
        <v>0</v>
      </c>
      <c r="G541" s="425">
        <v>0</v>
      </c>
      <c r="H541" s="394">
        <v>0</v>
      </c>
      <c r="I541" s="394">
        <v>0</v>
      </c>
      <c r="J541" s="398"/>
      <c r="K541" s="337"/>
      <c r="O541" s="26">
        <v>9</v>
      </c>
      <c r="P541" s="27" t="s">
        <v>74</v>
      </c>
      <c r="Q541" s="394">
        <v>0</v>
      </c>
      <c r="R541" s="394">
        <v>0</v>
      </c>
      <c r="S541" s="394">
        <v>0</v>
      </c>
      <c r="T541" s="394">
        <v>0</v>
      </c>
      <c r="U541" s="394">
        <v>0</v>
      </c>
      <c r="V541" s="394">
        <v>0</v>
      </c>
      <c r="W541" s="394">
        <v>0</v>
      </c>
      <c r="X541" s="398"/>
      <c r="AC541" s="26">
        <v>9</v>
      </c>
      <c r="AD541" s="27" t="s">
        <v>74</v>
      </c>
      <c r="AE541" s="394" t="s">
        <v>20</v>
      </c>
      <c r="AF541" s="394" t="s">
        <v>20</v>
      </c>
      <c r="AG541" s="394" t="s">
        <v>20</v>
      </c>
      <c r="AH541" s="394" t="s">
        <v>20</v>
      </c>
      <c r="AI541" s="394" t="s">
        <v>20</v>
      </c>
      <c r="AJ541" s="394" t="s">
        <v>20</v>
      </c>
      <c r="AK541" s="394" t="s">
        <v>20</v>
      </c>
      <c r="AL541" s="398"/>
    </row>
    <row r="542" spans="1:38" ht="24.95" customHeight="1">
      <c r="A542" s="26">
        <v>10</v>
      </c>
      <c r="B542" s="307" t="s">
        <v>75</v>
      </c>
      <c r="C542" s="394">
        <v>0</v>
      </c>
      <c r="D542" s="452">
        <f>6-1</f>
        <v>5</v>
      </c>
      <c r="E542" s="452">
        <f>5+1</f>
        <v>6</v>
      </c>
      <c r="F542" s="452">
        <f>E542+D542+C542</f>
        <v>11</v>
      </c>
      <c r="G542" s="453">
        <f>H542/1000*D542</f>
        <v>1.5</v>
      </c>
      <c r="H542" s="452">
        <v>300</v>
      </c>
      <c r="I542" s="452">
        <v>12</v>
      </c>
      <c r="J542" s="398">
        <f>F542-T542</f>
        <v>0</v>
      </c>
      <c r="K542" s="337">
        <f>C542-Q542</f>
        <v>0</v>
      </c>
      <c r="L542" s="337">
        <f t="shared" ref="L542:M543" si="192">D542-R542</f>
        <v>0</v>
      </c>
      <c r="M542" s="337">
        <f t="shared" si="192"/>
        <v>0</v>
      </c>
      <c r="N542" s="273">
        <f>I542-W542</f>
        <v>0</v>
      </c>
      <c r="O542" s="26">
        <v>10</v>
      </c>
      <c r="P542" s="340" t="s">
        <v>75</v>
      </c>
      <c r="Q542" s="394">
        <v>0</v>
      </c>
      <c r="R542" s="452">
        <f>6-1</f>
        <v>5</v>
      </c>
      <c r="S542" s="452">
        <f>5+1</f>
        <v>6</v>
      </c>
      <c r="T542" s="452">
        <f>S542+R542+Q542</f>
        <v>11</v>
      </c>
      <c r="U542" s="453">
        <f>V542/1000*R542</f>
        <v>1.5</v>
      </c>
      <c r="V542" s="452">
        <v>300</v>
      </c>
      <c r="W542" s="452">
        <v>12</v>
      </c>
      <c r="X542" s="398">
        <f>T542-AH542</f>
        <v>0</v>
      </c>
      <c r="AC542" s="26">
        <v>10</v>
      </c>
      <c r="AD542" s="27" t="s">
        <v>75</v>
      </c>
      <c r="AE542" s="452">
        <v>1</v>
      </c>
      <c r="AF542" s="452">
        <v>5</v>
      </c>
      <c r="AG542" s="452">
        <v>5</v>
      </c>
      <c r="AH542" s="452">
        <f>AG542+AF542+AE542</f>
        <v>11</v>
      </c>
      <c r="AI542" s="453">
        <f>AJ542/1000*AF542</f>
        <v>1.5</v>
      </c>
      <c r="AJ542" s="452">
        <v>300</v>
      </c>
      <c r="AK542" s="452">
        <v>12</v>
      </c>
      <c r="AL542" s="347"/>
    </row>
    <row r="543" spans="1:38" ht="24.95" customHeight="1">
      <c r="A543" s="26">
        <v>11</v>
      </c>
      <c r="B543" s="311" t="s">
        <v>76</v>
      </c>
      <c r="C543" s="452">
        <f>20-2</f>
        <v>18</v>
      </c>
      <c r="D543" s="452">
        <f>45+2</f>
        <v>47</v>
      </c>
      <c r="E543" s="452">
        <v>11</v>
      </c>
      <c r="F543" s="452">
        <f>E543+D543+C543</f>
        <v>76</v>
      </c>
      <c r="G543" s="453">
        <f>H543/1000*D543</f>
        <v>14.1</v>
      </c>
      <c r="H543" s="452">
        <v>300</v>
      </c>
      <c r="I543" s="452">
        <v>67</v>
      </c>
      <c r="J543" s="398">
        <f>F543-T543</f>
        <v>0</v>
      </c>
      <c r="K543" s="337">
        <f>C543-Q543</f>
        <v>0</v>
      </c>
      <c r="L543" s="337">
        <f t="shared" si="192"/>
        <v>0</v>
      </c>
      <c r="M543" s="337">
        <f t="shared" si="192"/>
        <v>0</v>
      </c>
      <c r="N543" s="273">
        <f>I543-W543</f>
        <v>0</v>
      </c>
      <c r="O543" s="26">
        <v>11</v>
      </c>
      <c r="P543" s="368" t="s">
        <v>76</v>
      </c>
      <c r="Q543" s="452">
        <f>20-2</f>
        <v>18</v>
      </c>
      <c r="R543" s="452">
        <f>45+2</f>
        <v>47</v>
      </c>
      <c r="S543" s="452">
        <v>11</v>
      </c>
      <c r="T543" s="452">
        <f>S543+R543+Q543</f>
        <v>76</v>
      </c>
      <c r="U543" s="453">
        <f>V543/1000*R543</f>
        <v>14.1</v>
      </c>
      <c r="V543" s="452">
        <v>300</v>
      </c>
      <c r="W543" s="452">
        <v>67</v>
      </c>
      <c r="X543" s="398">
        <f>T543-AH543</f>
        <v>0</v>
      </c>
      <c r="AC543" s="26">
        <v>11</v>
      </c>
      <c r="AD543" s="35" t="s">
        <v>76</v>
      </c>
      <c r="AE543" s="452">
        <v>48</v>
      </c>
      <c r="AF543" s="452">
        <v>17</v>
      </c>
      <c r="AG543" s="452">
        <v>11</v>
      </c>
      <c r="AH543" s="452">
        <f>AG543+AF543+AE543</f>
        <v>76</v>
      </c>
      <c r="AI543" s="453">
        <f>AJ543/1000*AF543</f>
        <v>5.0999999999999996</v>
      </c>
      <c r="AJ543" s="452">
        <v>300</v>
      </c>
      <c r="AK543" s="452">
        <v>67</v>
      </c>
      <c r="AL543" s="347"/>
    </row>
    <row r="544" spans="1:38" ht="24.95" customHeight="1">
      <c r="A544" s="664" t="s">
        <v>77</v>
      </c>
      <c r="B544" s="665"/>
      <c r="C544" s="447">
        <f>SUM(C533:C543)</f>
        <v>18</v>
      </c>
      <c r="D544" s="37">
        <f>SUM(D533:D543)</f>
        <v>53</v>
      </c>
      <c r="E544" s="447">
        <f>SUM(E533:E543)</f>
        <v>19</v>
      </c>
      <c r="F544" s="37">
        <f>SUM(F533:F543)</f>
        <v>90</v>
      </c>
      <c r="G544" s="448">
        <f>H544/1000*D544</f>
        <v>15.899999999999999</v>
      </c>
      <c r="H544" s="37">
        <v>300</v>
      </c>
      <c r="I544" s="451">
        <f>SUM(I533:I543)</f>
        <v>91</v>
      </c>
      <c r="J544" s="432"/>
      <c r="K544" s="337"/>
      <c r="O544" s="664" t="s">
        <v>77</v>
      </c>
      <c r="P544" s="665"/>
      <c r="Q544" s="447">
        <f>SUM(Q533:Q543)</f>
        <v>18</v>
      </c>
      <c r="R544" s="37">
        <f>SUM(R533:R543)</f>
        <v>53</v>
      </c>
      <c r="S544" s="447">
        <f>SUM(S533:S543)</f>
        <v>19</v>
      </c>
      <c r="T544" s="37">
        <f>SUM(T533:T543)</f>
        <v>90</v>
      </c>
      <c r="U544" s="448">
        <f>V544/1000*R544</f>
        <v>15.899999999999999</v>
      </c>
      <c r="V544" s="37">
        <v>300</v>
      </c>
      <c r="W544" s="451">
        <f>SUM(W533:W543)</f>
        <v>91</v>
      </c>
      <c r="X544" s="432"/>
      <c r="AC544" s="664" t="s">
        <v>77</v>
      </c>
      <c r="AD544" s="665"/>
      <c r="AE544" s="447">
        <f>SUM(AE533:AE543)</f>
        <v>49</v>
      </c>
      <c r="AF544" s="37">
        <f>SUM(AF533:AF543)</f>
        <v>23</v>
      </c>
      <c r="AG544" s="447">
        <f>SUM(AG533:AG543)</f>
        <v>18</v>
      </c>
      <c r="AH544" s="37">
        <f>SUM(AH533:AH543)</f>
        <v>90</v>
      </c>
      <c r="AI544" s="448">
        <f>AJ544/1000*AF544</f>
        <v>6.8999999999999995</v>
      </c>
      <c r="AJ544" s="37">
        <v>300</v>
      </c>
      <c r="AK544" s="451">
        <f>SUM(AK533:AK543)</f>
        <v>91</v>
      </c>
      <c r="AL544" s="399"/>
    </row>
    <row r="545" spans="2:38" ht="24.95" customHeight="1">
      <c r="C545" s="273">
        <f>C544-Q544</f>
        <v>0</v>
      </c>
      <c r="D545" s="273">
        <f t="shared" ref="D545:I545" si="193">D544-R544</f>
        <v>0</v>
      </c>
      <c r="E545" s="273">
        <f t="shared" si="193"/>
        <v>0</v>
      </c>
      <c r="F545" s="273">
        <f t="shared" si="193"/>
        <v>0</v>
      </c>
      <c r="G545" s="273">
        <f t="shared" si="193"/>
        <v>0</v>
      </c>
      <c r="H545" s="273">
        <f t="shared" si="193"/>
        <v>0</v>
      </c>
      <c r="I545" s="273">
        <f t="shared" si="193"/>
        <v>0</v>
      </c>
      <c r="V545">
        <f>U544/R544*1000</f>
        <v>300</v>
      </c>
    </row>
    <row r="546" spans="2:38" ht="24.95" customHeight="1">
      <c r="B546" s="1" t="s">
        <v>12</v>
      </c>
      <c r="C546" s="434" t="s">
        <v>33</v>
      </c>
      <c r="F546" s="118"/>
      <c r="G546" s="1"/>
      <c r="P546" s="1" t="s">
        <v>12</v>
      </c>
      <c r="Q546" s="434" t="s">
        <v>33</v>
      </c>
      <c r="T546" s="118"/>
      <c r="U546" s="1"/>
      <c r="AD546" s="385"/>
      <c r="AE546" s="118"/>
      <c r="AF546" s="118"/>
      <c r="AG546" s="118"/>
      <c r="AH546" s="118"/>
      <c r="AI546" s="1" t="s">
        <v>104</v>
      </c>
    </row>
    <row r="547" spans="2:38" ht="24.95" customHeight="1">
      <c r="B547" s="1" t="s">
        <v>13</v>
      </c>
      <c r="C547" s="434" t="s">
        <v>34</v>
      </c>
      <c r="G547" s="650"/>
      <c r="H547" s="637"/>
      <c r="I547" s="637"/>
      <c r="J547" s="637"/>
      <c r="K547" s="48"/>
      <c r="P547" s="1" t="s">
        <v>13</v>
      </c>
      <c r="Q547" s="434" t="s">
        <v>34</v>
      </c>
      <c r="U547" s="650"/>
      <c r="V547" s="637"/>
      <c r="W547" s="637"/>
      <c r="X547" s="637"/>
      <c r="AI547" s="266" t="s">
        <v>105</v>
      </c>
      <c r="AJ547" s="323"/>
      <c r="AK547" s="323"/>
      <c r="AL547" s="323"/>
    </row>
    <row r="548" spans="2:38" ht="24.95" customHeight="1">
      <c r="B548" s="1" t="s">
        <v>14</v>
      </c>
      <c r="C548" s="434" t="s">
        <v>35</v>
      </c>
      <c r="G548" s="1"/>
      <c r="P548" s="1" t="s">
        <v>14</v>
      </c>
      <c r="Q548" s="434" t="s">
        <v>35</v>
      </c>
      <c r="U548" s="1"/>
      <c r="AI548" s="1" t="s">
        <v>106</v>
      </c>
    </row>
    <row r="549" spans="2:38" ht="24.95" customHeight="1">
      <c r="G549" s="650"/>
      <c r="H549" s="650"/>
      <c r="I549" s="650"/>
      <c r="J549" s="650"/>
      <c r="K549" s="47"/>
      <c r="U549" s="650"/>
      <c r="V549" s="650"/>
      <c r="W549" s="650"/>
      <c r="X549" s="650"/>
      <c r="AI549" s="650"/>
      <c r="AJ549" s="650"/>
      <c r="AK549" s="650"/>
      <c r="AL549" s="650"/>
    </row>
    <row r="550" spans="2:38" ht="24.95" customHeight="1">
      <c r="G550" s="48"/>
      <c r="H550" s="48"/>
      <c r="I550" s="48"/>
      <c r="J550" s="48"/>
      <c r="K550" s="48"/>
      <c r="U550" s="48"/>
      <c r="V550" s="48"/>
      <c r="W550" s="48"/>
      <c r="X550" s="48"/>
      <c r="AI550" s="48"/>
      <c r="AJ550" s="48"/>
      <c r="AK550" s="48"/>
      <c r="AL550" s="48"/>
    </row>
    <row r="551" spans="2:38" ht="24.95" customHeight="1">
      <c r="G551" s="48"/>
      <c r="H551" s="48"/>
      <c r="I551" s="48"/>
      <c r="J551" s="48"/>
      <c r="K551" s="48"/>
      <c r="U551" s="48"/>
      <c r="V551" s="48"/>
      <c r="W551" s="48"/>
      <c r="X551" s="48"/>
      <c r="AI551" s="48"/>
      <c r="AJ551" s="48"/>
      <c r="AK551" s="48"/>
      <c r="AL551" s="48"/>
    </row>
    <row r="552" spans="2:38" ht="24.95" customHeight="1">
      <c r="G552" s="48"/>
      <c r="H552" s="48"/>
      <c r="I552" s="48"/>
      <c r="J552" s="48"/>
      <c r="K552" s="48"/>
      <c r="U552" s="48"/>
      <c r="V552" s="48"/>
      <c r="W552" s="48"/>
      <c r="X552" s="48"/>
      <c r="AI552" s="48"/>
      <c r="AJ552" s="48"/>
      <c r="AK552" s="48"/>
      <c r="AL552" s="48"/>
    </row>
    <row r="553" spans="2:38" ht="24.95" customHeight="1">
      <c r="G553" s="48"/>
      <c r="H553" s="48"/>
      <c r="I553" s="48"/>
      <c r="J553" s="48"/>
      <c r="K553" s="48"/>
      <c r="U553" s="48"/>
      <c r="V553" s="48"/>
      <c r="W553" s="48"/>
      <c r="X553" s="48"/>
      <c r="AI553" s="48"/>
      <c r="AJ553" s="48"/>
      <c r="AK553" s="48"/>
      <c r="AL553" s="48"/>
    </row>
    <row r="554" spans="2:38" ht="24.95" customHeight="1">
      <c r="G554" s="48"/>
      <c r="H554" s="48"/>
      <c r="I554" s="48"/>
      <c r="J554" s="48"/>
      <c r="K554" s="48"/>
      <c r="U554" s="48"/>
      <c r="V554" s="48"/>
      <c r="W554" s="48"/>
      <c r="X554" s="48"/>
      <c r="AI554" s="48"/>
      <c r="AJ554" s="48"/>
      <c r="AK554" s="48"/>
      <c r="AL554" s="48"/>
    </row>
    <row r="555" spans="2:38" ht="24.95" customHeight="1">
      <c r="G555" s="48"/>
      <c r="H555" s="48"/>
      <c r="I555" s="48"/>
      <c r="J555" s="48"/>
      <c r="K555" s="48"/>
      <c r="U555" s="48"/>
      <c r="V555" s="48"/>
      <c r="W555" s="48"/>
      <c r="X555" s="48"/>
      <c r="AI555" s="48"/>
      <c r="AJ555" s="48"/>
      <c r="AK555" s="48"/>
      <c r="AL555" s="48"/>
    </row>
    <row r="556" spans="2:38" ht="24.95" customHeight="1">
      <c r="G556" s="48"/>
      <c r="H556" s="48"/>
      <c r="I556" s="48"/>
      <c r="J556" s="48"/>
      <c r="K556" s="48"/>
      <c r="U556" s="48"/>
      <c r="V556" s="48"/>
      <c r="W556" s="48"/>
      <c r="X556" s="48"/>
      <c r="AI556" s="48"/>
      <c r="AJ556" s="48"/>
      <c r="AK556" s="48"/>
      <c r="AL556" s="48"/>
    </row>
    <row r="557" spans="2:38" ht="24.95" customHeight="1">
      <c r="G557" s="48"/>
      <c r="H557" s="48"/>
      <c r="I557" s="48"/>
      <c r="J557" s="48"/>
      <c r="K557" s="48"/>
      <c r="U557" s="48"/>
      <c r="V557" s="48"/>
      <c r="W557" s="48"/>
      <c r="X557" s="48"/>
      <c r="AI557" s="48"/>
      <c r="AJ557" s="48"/>
      <c r="AK557" s="48"/>
      <c r="AL557" s="48"/>
    </row>
    <row r="558" spans="2:38" ht="24.95" customHeight="1">
      <c r="G558" s="48"/>
      <c r="H558" s="48"/>
      <c r="I558" s="48"/>
      <c r="J558" s="48"/>
      <c r="K558" s="48"/>
      <c r="U558" s="48"/>
      <c r="V558" s="48"/>
      <c r="W558" s="48"/>
      <c r="X558" s="48"/>
      <c r="AI558" s="48"/>
      <c r="AJ558" s="48"/>
      <c r="AK558" s="48"/>
      <c r="AL558" s="48"/>
    </row>
    <row r="559" spans="2:38" ht="24.95" customHeight="1">
      <c r="G559" s="48"/>
      <c r="H559" s="48"/>
      <c r="I559" s="48"/>
      <c r="J559" s="48"/>
      <c r="K559" s="48"/>
      <c r="U559" s="48"/>
      <c r="V559" s="48"/>
      <c r="W559" s="48"/>
      <c r="X559" s="48"/>
      <c r="AI559" s="48"/>
      <c r="AJ559" s="48"/>
      <c r="AK559" s="48"/>
      <c r="AL559" s="48"/>
    </row>
    <row r="560" spans="2:38" ht="24.95" customHeight="1">
      <c r="G560" s="48"/>
      <c r="H560" s="48"/>
      <c r="I560" s="48"/>
      <c r="J560" s="48"/>
      <c r="K560" s="48"/>
      <c r="U560" s="48"/>
      <c r="V560" s="48"/>
      <c r="W560" s="48"/>
      <c r="X560" s="48"/>
      <c r="AI560" s="48"/>
      <c r="AJ560" s="48"/>
      <c r="AK560" s="48"/>
      <c r="AL560" s="48"/>
    </row>
    <row r="561" spans="1:38" ht="24.95" customHeight="1">
      <c r="G561" s="48"/>
      <c r="H561" s="48"/>
      <c r="I561" s="48"/>
      <c r="J561" s="48"/>
      <c r="K561" s="48"/>
      <c r="U561" s="48"/>
      <c r="V561" s="48"/>
      <c r="W561" s="48"/>
      <c r="X561" s="48"/>
      <c r="AI561" s="48"/>
      <c r="AJ561" s="48"/>
      <c r="AK561" s="48"/>
      <c r="AL561" s="48"/>
    </row>
    <row r="562" spans="1:38" ht="24.95" customHeight="1">
      <c r="A562" s="632" t="s">
        <v>59</v>
      </c>
      <c r="B562" s="632"/>
      <c r="C562" s="632"/>
      <c r="D562" s="632"/>
      <c r="E562" s="632"/>
      <c r="F562" s="632"/>
      <c r="G562" s="632"/>
      <c r="H562" s="632"/>
      <c r="I562" s="632"/>
      <c r="J562" s="632"/>
      <c r="K562" s="296"/>
      <c r="O562" s="632" t="s">
        <v>59</v>
      </c>
      <c r="P562" s="632"/>
      <c r="Q562" s="632"/>
      <c r="R562" s="632"/>
      <c r="S562" s="632"/>
      <c r="T562" s="632"/>
      <c r="U562" s="632"/>
      <c r="V562" s="632"/>
      <c r="W562" s="632"/>
      <c r="X562" s="632"/>
      <c r="AC562" s="663" t="s">
        <v>59</v>
      </c>
      <c r="AD562" s="663"/>
      <c r="AE562" s="663"/>
      <c r="AF562" s="663"/>
      <c r="AG562" s="663"/>
      <c r="AH562" s="663"/>
      <c r="AI562" s="663"/>
      <c r="AJ562" s="663"/>
      <c r="AK562" s="663"/>
      <c r="AL562" s="663"/>
    </row>
    <row r="563" spans="1:38" ht="24.95" customHeight="1">
      <c r="A563" s="632" t="s">
        <v>1</v>
      </c>
      <c r="B563" s="632"/>
      <c r="C563" s="632"/>
      <c r="D563" s="632"/>
      <c r="E563" s="632"/>
      <c r="F563" s="632"/>
      <c r="G563" s="632"/>
      <c r="H563" s="632"/>
      <c r="I563" s="632"/>
      <c r="J563" s="632"/>
      <c r="K563" s="296"/>
      <c r="O563" s="632" t="s">
        <v>1</v>
      </c>
      <c r="P563" s="632"/>
      <c r="Q563" s="632"/>
      <c r="R563" s="632"/>
      <c r="S563" s="632"/>
      <c r="T563" s="632"/>
      <c r="U563" s="632"/>
      <c r="V563" s="632"/>
      <c r="W563" s="632"/>
      <c r="X563" s="632"/>
      <c r="AC563" s="663" t="s">
        <v>1</v>
      </c>
      <c r="AD563" s="663"/>
      <c r="AE563" s="663"/>
      <c r="AF563" s="663"/>
      <c r="AG563" s="663"/>
      <c r="AH563" s="663"/>
      <c r="AI563" s="663"/>
      <c r="AJ563" s="663"/>
      <c r="AK563" s="663"/>
      <c r="AL563" s="663"/>
    </row>
    <row r="564" spans="1:38" ht="24.95" customHeight="1">
      <c r="A564" s="632" t="s">
        <v>206</v>
      </c>
      <c r="B564" s="632"/>
      <c r="C564" s="632"/>
      <c r="D564" s="632"/>
      <c r="E564" s="632"/>
      <c r="F564" s="632"/>
      <c r="G564" s="632"/>
      <c r="H564" s="632"/>
      <c r="I564" s="632"/>
      <c r="J564" s="632"/>
      <c r="K564" s="623"/>
      <c r="O564" s="632" t="s">
        <v>60</v>
      </c>
      <c r="P564" s="632"/>
      <c r="Q564" s="632"/>
      <c r="R564" s="632"/>
      <c r="S564" s="632"/>
      <c r="T564" s="632"/>
      <c r="U564" s="632"/>
      <c r="V564" s="632"/>
      <c r="W564" s="632"/>
      <c r="X564" s="632"/>
      <c r="AC564" s="663" t="s">
        <v>107</v>
      </c>
      <c r="AD564" s="663"/>
      <c r="AE564" s="663"/>
      <c r="AF564" s="663"/>
      <c r="AG564" s="663"/>
      <c r="AH564" s="663"/>
      <c r="AI564" s="663"/>
      <c r="AJ564" s="663"/>
      <c r="AK564" s="663"/>
      <c r="AL564" s="663"/>
    </row>
    <row r="565" spans="1:38" ht="24.9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AC565" s="82"/>
      <c r="AD565" s="82"/>
      <c r="AE565" s="82"/>
      <c r="AF565" s="82"/>
      <c r="AG565" s="82"/>
      <c r="AH565" s="82"/>
      <c r="AI565" s="82"/>
      <c r="AJ565" s="82"/>
      <c r="AK565" s="82"/>
      <c r="AL565" s="82"/>
    </row>
    <row r="566" spans="1:38" ht="24.95" customHeight="1">
      <c r="A566" t="s">
        <v>61</v>
      </c>
      <c r="C566" s="1" t="s">
        <v>99</v>
      </c>
      <c r="O566" t="s">
        <v>61</v>
      </c>
      <c r="Q566" s="1" t="s">
        <v>99</v>
      </c>
      <c r="AC566" t="s">
        <v>61</v>
      </c>
      <c r="AE566" s="1" t="s">
        <v>99</v>
      </c>
    </row>
    <row r="567" spans="1:38" ht="24.95" customHeight="1">
      <c r="A567" s="1"/>
      <c r="E567" s="1"/>
      <c r="O567" s="1"/>
      <c r="S567" s="1"/>
      <c r="AC567" s="1"/>
      <c r="AG567" s="1"/>
    </row>
    <row r="568" spans="1:38" ht="30" customHeight="1">
      <c r="A568" s="297" t="s">
        <v>4</v>
      </c>
      <c r="B568" s="298" t="s">
        <v>63</v>
      </c>
      <c r="C568" s="298" t="s">
        <v>12</v>
      </c>
      <c r="D568" s="298" t="s">
        <v>13</v>
      </c>
      <c r="E568" s="298" t="s">
        <v>14</v>
      </c>
      <c r="F568" s="299" t="s">
        <v>86</v>
      </c>
      <c r="G568" s="299" t="s">
        <v>8</v>
      </c>
      <c r="H568" s="299" t="s">
        <v>9</v>
      </c>
      <c r="I568" s="299" t="s">
        <v>10</v>
      </c>
      <c r="J568" s="330" t="s">
        <v>11</v>
      </c>
      <c r="K568" s="430"/>
      <c r="O568" s="297" t="s">
        <v>4</v>
      </c>
      <c r="P568" s="298" t="s">
        <v>63</v>
      </c>
      <c r="Q568" s="298" t="s">
        <v>12</v>
      </c>
      <c r="R568" s="298" t="s">
        <v>13</v>
      </c>
      <c r="S568" s="298" t="s">
        <v>14</v>
      </c>
      <c r="T568" s="299" t="s">
        <v>86</v>
      </c>
      <c r="U568" s="299" t="s">
        <v>8</v>
      </c>
      <c r="V568" s="299" t="s">
        <v>9</v>
      </c>
      <c r="W568" s="299" t="s">
        <v>10</v>
      </c>
      <c r="X568" s="330" t="s">
        <v>11</v>
      </c>
      <c r="Z568" s="357" t="s">
        <v>103</v>
      </c>
      <c r="AC568" s="297" t="s">
        <v>4</v>
      </c>
      <c r="AD568" s="298" t="s">
        <v>63</v>
      </c>
      <c r="AE568" s="298" t="s">
        <v>12</v>
      </c>
      <c r="AF568" s="298" t="s">
        <v>13</v>
      </c>
      <c r="AG568" s="298" t="s">
        <v>14</v>
      </c>
      <c r="AH568" s="299" t="s">
        <v>86</v>
      </c>
      <c r="AI568" s="299" t="s">
        <v>8</v>
      </c>
      <c r="AJ568" s="299" t="s">
        <v>9</v>
      </c>
      <c r="AK568" s="299" t="s">
        <v>10</v>
      </c>
      <c r="AL568" s="330" t="s">
        <v>11</v>
      </c>
    </row>
    <row r="569" spans="1:38" ht="24.95" customHeight="1">
      <c r="A569" s="300">
        <v>1</v>
      </c>
      <c r="B569" s="301">
        <v>2</v>
      </c>
      <c r="C569" s="301">
        <v>3</v>
      </c>
      <c r="D569" s="301">
        <v>4</v>
      </c>
      <c r="E569" s="301">
        <v>5</v>
      </c>
      <c r="F569" s="301">
        <v>6</v>
      </c>
      <c r="G569" s="301">
        <v>7</v>
      </c>
      <c r="H569" s="301">
        <v>8</v>
      </c>
      <c r="I569" s="301">
        <v>9</v>
      </c>
      <c r="J569" s="333">
        <v>10</v>
      </c>
      <c r="K569" s="334" t="s">
        <v>12</v>
      </c>
      <c r="L569" s="1" t="s">
        <v>13</v>
      </c>
      <c r="M569" s="1" t="s">
        <v>14</v>
      </c>
      <c r="N569" s="1" t="s">
        <v>65</v>
      </c>
      <c r="O569" s="300">
        <v>1</v>
      </c>
      <c r="P569" s="301">
        <v>2</v>
      </c>
      <c r="Q569" s="301">
        <v>3</v>
      </c>
      <c r="R569" s="301">
        <v>4</v>
      </c>
      <c r="S569" s="301">
        <v>5</v>
      </c>
      <c r="T569" s="301">
        <v>6</v>
      </c>
      <c r="U569" s="301">
        <v>7</v>
      </c>
      <c r="V569" s="301">
        <v>8</v>
      </c>
      <c r="W569" s="301">
        <v>9</v>
      </c>
      <c r="X569" s="333">
        <v>10</v>
      </c>
      <c r="AC569" s="300">
        <v>1</v>
      </c>
      <c r="AD569" s="301">
        <v>2</v>
      </c>
      <c r="AE569" s="301">
        <v>3</v>
      </c>
      <c r="AF569" s="301">
        <v>4</v>
      </c>
      <c r="AG569" s="301">
        <v>5</v>
      </c>
      <c r="AH569" s="301">
        <v>6</v>
      </c>
      <c r="AI569" s="301">
        <v>7</v>
      </c>
      <c r="AJ569" s="301">
        <v>8</v>
      </c>
      <c r="AK569" s="301">
        <v>9</v>
      </c>
      <c r="AL569" s="333">
        <v>10</v>
      </c>
    </row>
    <row r="570" spans="1:38" ht="24.95" customHeight="1">
      <c r="A570" s="16">
        <v>1</v>
      </c>
      <c r="B570" s="17" t="s">
        <v>82</v>
      </c>
      <c r="C570" s="394">
        <v>0</v>
      </c>
      <c r="D570" s="394">
        <v>0</v>
      </c>
      <c r="E570" s="394">
        <v>0</v>
      </c>
      <c r="F570" s="394">
        <v>0</v>
      </c>
      <c r="G570" s="394">
        <v>0</v>
      </c>
      <c r="H570" s="394">
        <v>0</v>
      </c>
      <c r="I570" s="394">
        <v>0</v>
      </c>
      <c r="J570" s="398"/>
      <c r="K570" s="337"/>
      <c r="O570" s="16">
        <v>1</v>
      </c>
      <c r="P570" s="17" t="s">
        <v>82</v>
      </c>
      <c r="Q570" s="394">
        <v>0</v>
      </c>
      <c r="R570" s="394">
        <v>0</v>
      </c>
      <c r="S570" s="394">
        <v>0</v>
      </c>
      <c r="T570" s="394">
        <v>0</v>
      </c>
      <c r="U570" s="394">
        <v>0</v>
      </c>
      <c r="V570" s="394">
        <v>0</v>
      </c>
      <c r="W570" s="394">
        <v>0</v>
      </c>
      <c r="X570" s="398"/>
      <c r="AC570" s="16">
        <v>1</v>
      </c>
      <c r="AD570" s="17" t="s">
        <v>82</v>
      </c>
      <c r="AE570" s="394" t="s">
        <v>20</v>
      </c>
      <c r="AF570" s="394" t="s">
        <v>20</v>
      </c>
      <c r="AG570" s="394" t="s">
        <v>20</v>
      </c>
      <c r="AH570" s="394" t="s">
        <v>20</v>
      </c>
      <c r="AI570" s="394" t="s">
        <v>20</v>
      </c>
      <c r="AJ570" s="394" t="s">
        <v>20</v>
      </c>
      <c r="AK570" s="394" t="s">
        <v>20</v>
      </c>
      <c r="AL570" s="347"/>
    </row>
    <row r="571" spans="1:38" ht="24.95" customHeight="1">
      <c r="A571" s="22">
        <v>2</v>
      </c>
      <c r="B571" s="23" t="s">
        <v>67</v>
      </c>
      <c r="C571" s="394">
        <v>0</v>
      </c>
      <c r="D571" s="394">
        <v>0</v>
      </c>
      <c r="E571" s="394">
        <v>0</v>
      </c>
      <c r="F571" s="394">
        <v>0</v>
      </c>
      <c r="G571" s="394">
        <v>0</v>
      </c>
      <c r="H571" s="394">
        <v>0</v>
      </c>
      <c r="I571" s="394">
        <v>0</v>
      </c>
      <c r="J571" s="398"/>
      <c r="K571" s="337"/>
      <c r="O571" s="22">
        <v>2</v>
      </c>
      <c r="P571" s="23" t="s">
        <v>67</v>
      </c>
      <c r="Q571" s="394">
        <v>0</v>
      </c>
      <c r="R571" s="394">
        <v>0</v>
      </c>
      <c r="S571" s="394">
        <v>0</v>
      </c>
      <c r="T571" s="394">
        <v>0</v>
      </c>
      <c r="U571" s="394">
        <v>0</v>
      </c>
      <c r="V571" s="394">
        <v>0</v>
      </c>
      <c r="W571" s="394">
        <v>0</v>
      </c>
      <c r="X571" s="398"/>
      <c r="AC571" s="22">
        <v>2</v>
      </c>
      <c r="AD571" s="23" t="s">
        <v>67</v>
      </c>
      <c r="AE571" s="394" t="s">
        <v>20</v>
      </c>
      <c r="AF571" s="394" t="s">
        <v>20</v>
      </c>
      <c r="AG571" s="394" t="s">
        <v>20</v>
      </c>
      <c r="AH571" s="394" t="s">
        <v>20</v>
      </c>
      <c r="AI571" s="394" t="s">
        <v>20</v>
      </c>
      <c r="AJ571" s="394" t="s">
        <v>20</v>
      </c>
      <c r="AK571" s="394" t="s">
        <v>20</v>
      </c>
      <c r="AL571" s="398"/>
    </row>
    <row r="572" spans="1:38" ht="24.95" customHeight="1">
      <c r="A572" s="26">
        <v>3</v>
      </c>
      <c r="B572" s="27" t="s">
        <v>68</v>
      </c>
      <c r="C572" s="394">
        <v>0</v>
      </c>
      <c r="D572" s="394">
        <v>0</v>
      </c>
      <c r="E572" s="394">
        <v>0</v>
      </c>
      <c r="F572" s="394">
        <v>0</v>
      </c>
      <c r="G572" s="394">
        <v>0</v>
      </c>
      <c r="H572" s="394">
        <v>0</v>
      </c>
      <c r="I572" s="394">
        <v>0</v>
      </c>
      <c r="J572" s="420"/>
      <c r="K572" s="337"/>
      <c r="O572" s="26">
        <v>3</v>
      </c>
      <c r="P572" s="27" t="s">
        <v>68</v>
      </c>
      <c r="Q572" s="394">
        <v>0</v>
      </c>
      <c r="R572" s="394">
        <v>0</v>
      </c>
      <c r="S572" s="394">
        <v>0</v>
      </c>
      <c r="T572" s="394">
        <v>0</v>
      </c>
      <c r="U572" s="394">
        <v>0</v>
      </c>
      <c r="V572" s="394">
        <v>0</v>
      </c>
      <c r="W572" s="394">
        <v>0</v>
      </c>
      <c r="X572" s="420"/>
      <c r="AC572" s="26">
        <v>3</v>
      </c>
      <c r="AD572" s="27" t="s">
        <v>68</v>
      </c>
      <c r="AE572" s="394" t="s">
        <v>20</v>
      </c>
      <c r="AF572" s="394" t="s">
        <v>20</v>
      </c>
      <c r="AG572" s="394" t="s">
        <v>20</v>
      </c>
      <c r="AH572" s="394" t="s">
        <v>20</v>
      </c>
      <c r="AI572" s="394" t="s">
        <v>20</v>
      </c>
      <c r="AJ572" s="394" t="s">
        <v>20</v>
      </c>
      <c r="AK572" s="394" t="s">
        <v>20</v>
      </c>
      <c r="AL572" s="420"/>
    </row>
    <row r="573" spans="1:38" ht="24.95" customHeight="1">
      <c r="A573" s="26">
        <v>4</v>
      </c>
      <c r="B573" s="555" t="s">
        <v>69</v>
      </c>
      <c r="C573" s="394">
        <v>0</v>
      </c>
      <c r="D573" s="394">
        <v>0</v>
      </c>
      <c r="E573" s="394">
        <f>2-1+1-1</f>
        <v>1</v>
      </c>
      <c r="F573" s="394">
        <f>E573+D573</f>
        <v>1</v>
      </c>
      <c r="G573" s="394">
        <v>0</v>
      </c>
      <c r="H573" s="394">
        <v>0</v>
      </c>
      <c r="I573" s="394">
        <f>22-10</f>
        <v>12</v>
      </c>
      <c r="J573" s="398">
        <f>F573-T573</f>
        <v>0</v>
      </c>
      <c r="K573" s="337">
        <v>0</v>
      </c>
      <c r="L573" s="337">
        <f t="shared" ref="L573:M573" si="194">D573-R573</f>
        <v>0</v>
      </c>
      <c r="M573" s="337">
        <f t="shared" si="194"/>
        <v>0</v>
      </c>
      <c r="N573" s="273">
        <f>I573-W573</f>
        <v>0</v>
      </c>
      <c r="O573" s="26">
        <v>4</v>
      </c>
      <c r="P573" s="27" t="s">
        <v>69</v>
      </c>
      <c r="Q573" s="394">
        <v>0</v>
      </c>
      <c r="R573" s="394">
        <v>0</v>
      </c>
      <c r="S573" s="394">
        <f>2-1</f>
        <v>1</v>
      </c>
      <c r="T573" s="394">
        <f>S573+R573</f>
        <v>1</v>
      </c>
      <c r="U573" s="394">
        <v>0</v>
      </c>
      <c r="V573" s="394">
        <v>604</v>
      </c>
      <c r="W573" s="394">
        <v>12</v>
      </c>
      <c r="X573" s="398"/>
      <c r="Z573" s="273">
        <f>R573-AF573</f>
        <v>-1</v>
      </c>
      <c r="AC573" s="26">
        <v>4</v>
      </c>
      <c r="AD573" s="27" t="s">
        <v>69</v>
      </c>
      <c r="AE573" s="394" t="s">
        <v>20</v>
      </c>
      <c r="AF573" s="394">
        <v>1</v>
      </c>
      <c r="AG573" s="394">
        <f>2-1</f>
        <v>1</v>
      </c>
      <c r="AH573" s="394">
        <f>AG573+AF573</f>
        <v>2</v>
      </c>
      <c r="AI573" s="421">
        <f>AJ573/1000*AF573</f>
        <v>0.60399999999999998</v>
      </c>
      <c r="AJ573" s="394">
        <v>604</v>
      </c>
      <c r="AK573" s="394">
        <v>22</v>
      </c>
      <c r="AL573" s="347"/>
    </row>
    <row r="574" spans="1:38" ht="24.95" customHeight="1">
      <c r="A574" s="26">
        <v>5</v>
      </c>
      <c r="B574" s="308" t="s">
        <v>70</v>
      </c>
      <c r="C574" s="394">
        <v>0</v>
      </c>
      <c r="D574" s="394">
        <v>0</v>
      </c>
      <c r="E574" s="394">
        <f>13-2</f>
        <v>11</v>
      </c>
      <c r="F574" s="394">
        <f>E574</f>
        <v>11</v>
      </c>
      <c r="G574" s="394">
        <v>0</v>
      </c>
      <c r="H574" s="394">
        <v>0</v>
      </c>
      <c r="I574" s="394">
        <f>97-1</f>
        <v>96</v>
      </c>
      <c r="J574" s="398">
        <f>F574-T574</f>
        <v>0</v>
      </c>
      <c r="K574" s="337">
        <f>C574-Q574</f>
        <v>0</v>
      </c>
      <c r="L574" s="337">
        <f t="shared" ref="L574:M574" si="195">D574-R574</f>
        <v>0</v>
      </c>
      <c r="M574" s="337">
        <f t="shared" si="195"/>
        <v>0</v>
      </c>
      <c r="N574" s="273">
        <f>I574-W574</f>
        <v>0</v>
      </c>
      <c r="O574" s="26">
        <v>5</v>
      </c>
      <c r="P574" s="32" t="s">
        <v>70</v>
      </c>
      <c r="Q574" s="394">
        <v>0</v>
      </c>
      <c r="R574" s="394">
        <v>0</v>
      </c>
      <c r="S574" s="394">
        <f>13-2</f>
        <v>11</v>
      </c>
      <c r="T574" s="394">
        <f>S574</f>
        <v>11</v>
      </c>
      <c r="U574" s="394">
        <v>0</v>
      </c>
      <c r="V574" s="394">
        <v>604</v>
      </c>
      <c r="W574" s="394">
        <f>97-1</f>
        <v>96</v>
      </c>
      <c r="X574" s="398"/>
      <c r="AA574" s="273">
        <f>S574-AG574</f>
        <v>-2</v>
      </c>
      <c r="AB574" s="273"/>
      <c r="AC574" s="26">
        <v>5</v>
      </c>
      <c r="AD574" s="32" t="s">
        <v>70</v>
      </c>
      <c r="AE574" s="394" t="s">
        <v>20</v>
      </c>
      <c r="AF574" s="394" t="s">
        <v>20</v>
      </c>
      <c r="AG574" s="394">
        <f>16-3</f>
        <v>13</v>
      </c>
      <c r="AH574" s="394">
        <f>AG574</f>
        <v>13</v>
      </c>
      <c r="AI574" s="421" t="s">
        <v>20</v>
      </c>
      <c r="AJ574" s="394">
        <v>604</v>
      </c>
      <c r="AK574" s="394">
        <f>104-7</f>
        <v>97</v>
      </c>
      <c r="AL574" s="347"/>
    </row>
    <row r="575" spans="1:38" ht="24.95" customHeight="1">
      <c r="A575" s="26">
        <v>6</v>
      </c>
      <c r="B575" s="27" t="s">
        <v>71</v>
      </c>
      <c r="C575" s="394">
        <v>0</v>
      </c>
      <c r="D575" s="394">
        <v>0</v>
      </c>
      <c r="E575" s="394">
        <v>0</v>
      </c>
      <c r="F575" s="394">
        <v>0</v>
      </c>
      <c r="G575" s="394">
        <v>0</v>
      </c>
      <c r="H575" s="394">
        <v>0</v>
      </c>
      <c r="I575" s="394">
        <v>0</v>
      </c>
      <c r="J575" s="398"/>
      <c r="K575" s="337"/>
      <c r="O575" s="26">
        <v>6</v>
      </c>
      <c r="P575" s="27" t="s">
        <v>71</v>
      </c>
      <c r="Q575" s="394">
        <v>0</v>
      </c>
      <c r="R575" s="394">
        <v>0</v>
      </c>
      <c r="S575" s="394">
        <v>0</v>
      </c>
      <c r="T575" s="394">
        <v>0</v>
      </c>
      <c r="U575" s="394">
        <v>0</v>
      </c>
      <c r="V575" s="394">
        <v>0</v>
      </c>
      <c r="W575" s="394">
        <v>0</v>
      </c>
      <c r="X575" s="398"/>
      <c r="AC575" s="26">
        <v>6</v>
      </c>
      <c r="AD575" s="27" t="s">
        <v>71</v>
      </c>
      <c r="AE575" s="394" t="s">
        <v>20</v>
      </c>
      <c r="AF575" s="394" t="s">
        <v>20</v>
      </c>
      <c r="AG575" s="394" t="s">
        <v>20</v>
      </c>
      <c r="AH575" s="394" t="s">
        <v>20</v>
      </c>
      <c r="AI575" s="394" t="s">
        <v>20</v>
      </c>
      <c r="AJ575" s="394" t="s">
        <v>20</v>
      </c>
      <c r="AK575" s="394" t="s">
        <v>20</v>
      </c>
      <c r="AL575" s="347"/>
    </row>
    <row r="576" spans="1:38" ht="24.95" customHeight="1">
      <c r="A576" s="26">
        <v>7</v>
      </c>
      <c r="B576" s="27" t="s">
        <v>72</v>
      </c>
      <c r="C576" s="394">
        <v>0</v>
      </c>
      <c r="D576" s="394">
        <v>0</v>
      </c>
      <c r="E576" s="394">
        <v>0</v>
      </c>
      <c r="F576" s="394">
        <v>0</v>
      </c>
      <c r="G576" s="394">
        <v>0</v>
      </c>
      <c r="H576" s="394">
        <v>0</v>
      </c>
      <c r="I576" s="394">
        <v>0</v>
      </c>
      <c r="J576" s="398"/>
      <c r="K576" s="337"/>
      <c r="O576" s="26">
        <v>7</v>
      </c>
      <c r="P576" s="27" t="s">
        <v>72</v>
      </c>
      <c r="Q576" s="394">
        <v>0</v>
      </c>
      <c r="R576" s="394">
        <v>0</v>
      </c>
      <c r="S576" s="394">
        <v>0</v>
      </c>
      <c r="T576" s="394">
        <v>0</v>
      </c>
      <c r="U576" s="394">
        <v>0</v>
      </c>
      <c r="V576" s="394">
        <v>0</v>
      </c>
      <c r="W576" s="394">
        <v>0</v>
      </c>
      <c r="X576" s="398"/>
      <c r="AC576" s="26">
        <v>7</v>
      </c>
      <c r="AD576" s="27" t="s">
        <v>72</v>
      </c>
      <c r="AE576" s="394" t="s">
        <v>20</v>
      </c>
      <c r="AF576" s="394" t="s">
        <v>20</v>
      </c>
      <c r="AG576" s="394" t="s">
        <v>20</v>
      </c>
      <c r="AH576" s="394" t="s">
        <v>20</v>
      </c>
      <c r="AI576" s="394" t="s">
        <v>20</v>
      </c>
      <c r="AJ576" s="394" t="s">
        <v>20</v>
      </c>
      <c r="AK576" s="394" t="s">
        <v>20</v>
      </c>
      <c r="AL576" s="398"/>
    </row>
    <row r="577" spans="1:38" ht="24.95" customHeight="1">
      <c r="A577" s="26">
        <v>8</v>
      </c>
      <c r="B577" s="27" t="s">
        <v>73</v>
      </c>
      <c r="C577" s="394">
        <v>0</v>
      </c>
      <c r="D577" s="394">
        <v>0</v>
      </c>
      <c r="E577" s="394">
        <v>0</v>
      </c>
      <c r="F577" s="394">
        <v>0</v>
      </c>
      <c r="G577" s="394">
        <v>0</v>
      </c>
      <c r="H577" s="394">
        <v>0</v>
      </c>
      <c r="I577" s="394">
        <v>0</v>
      </c>
      <c r="J577" s="398"/>
      <c r="K577" s="337"/>
      <c r="O577" s="26">
        <v>8</v>
      </c>
      <c r="P577" s="27" t="s">
        <v>73</v>
      </c>
      <c r="Q577" s="394">
        <v>0</v>
      </c>
      <c r="R577" s="394">
        <v>0</v>
      </c>
      <c r="S577" s="394">
        <v>0</v>
      </c>
      <c r="T577" s="394">
        <v>0</v>
      </c>
      <c r="U577" s="394">
        <v>0</v>
      </c>
      <c r="V577" s="394">
        <v>0</v>
      </c>
      <c r="W577" s="394">
        <v>0</v>
      </c>
      <c r="X577" s="398"/>
      <c r="AC577" s="26">
        <v>8</v>
      </c>
      <c r="AD577" s="27" t="s">
        <v>73</v>
      </c>
      <c r="AE577" s="394" t="s">
        <v>20</v>
      </c>
      <c r="AF577" s="394" t="s">
        <v>20</v>
      </c>
      <c r="AG577" s="394" t="s">
        <v>20</v>
      </c>
      <c r="AH577" s="394" t="s">
        <v>20</v>
      </c>
      <c r="AI577" s="394" t="s">
        <v>20</v>
      </c>
      <c r="AJ577" s="394" t="s">
        <v>20</v>
      </c>
      <c r="AK577" s="394" t="s">
        <v>20</v>
      </c>
      <c r="AL577" s="398"/>
    </row>
    <row r="578" spans="1:38" ht="24.95" customHeight="1">
      <c r="A578" s="26">
        <v>9</v>
      </c>
      <c r="B578" s="27" t="s">
        <v>74</v>
      </c>
      <c r="C578" s="394">
        <v>0</v>
      </c>
      <c r="D578" s="394">
        <v>0</v>
      </c>
      <c r="E578" s="394">
        <v>0</v>
      </c>
      <c r="F578" s="394">
        <v>0</v>
      </c>
      <c r="G578" s="394">
        <v>0</v>
      </c>
      <c r="H578" s="394">
        <v>0</v>
      </c>
      <c r="I578" s="394">
        <v>0</v>
      </c>
      <c r="J578" s="398"/>
      <c r="K578" s="337"/>
      <c r="O578" s="26">
        <v>9</v>
      </c>
      <c r="P578" s="27" t="s">
        <v>74</v>
      </c>
      <c r="Q578" s="394">
        <v>0</v>
      </c>
      <c r="R578" s="394">
        <v>0</v>
      </c>
      <c r="S578" s="394">
        <v>0</v>
      </c>
      <c r="T578" s="394">
        <v>0</v>
      </c>
      <c r="U578" s="394">
        <v>0</v>
      </c>
      <c r="V578" s="394">
        <v>0</v>
      </c>
      <c r="W578" s="394">
        <v>0</v>
      </c>
      <c r="X578" s="398"/>
      <c r="AC578" s="26">
        <v>9</v>
      </c>
      <c r="AD578" s="27" t="s">
        <v>74</v>
      </c>
      <c r="AE578" s="394" t="s">
        <v>20</v>
      </c>
      <c r="AF578" s="394" t="s">
        <v>20</v>
      </c>
      <c r="AG578" s="394" t="s">
        <v>20</v>
      </c>
      <c r="AH578" s="394" t="s">
        <v>20</v>
      </c>
      <c r="AI578" s="394" t="s">
        <v>20</v>
      </c>
      <c r="AJ578" s="394" t="s">
        <v>20</v>
      </c>
      <c r="AK578" s="394" t="s">
        <v>20</v>
      </c>
      <c r="AL578" s="398"/>
    </row>
    <row r="579" spans="1:38" ht="24.95" customHeight="1">
      <c r="A579" s="26">
        <v>10</v>
      </c>
      <c r="B579" s="27" t="s">
        <v>75</v>
      </c>
      <c r="C579" s="394">
        <v>0</v>
      </c>
      <c r="D579" s="394">
        <v>0</v>
      </c>
      <c r="E579" s="394">
        <v>0</v>
      </c>
      <c r="F579" s="394">
        <v>0</v>
      </c>
      <c r="G579" s="394">
        <v>0</v>
      </c>
      <c r="H579" s="394">
        <v>0</v>
      </c>
      <c r="I579" s="394">
        <v>0</v>
      </c>
      <c r="J579" s="398"/>
      <c r="K579" s="337"/>
      <c r="O579" s="26">
        <v>10</v>
      </c>
      <c r="P579" s="27" t="s">
        <v>75</v>
      </c>
      <c r="Q579" s="394">
        <v>0</v>
      </c>
      <c r="R579" s="394">
        <v>0</v>
      </c>
      <c r="S579" s="394">
        <v>0</v>
      </c>
      <c r="T579" s="394">
        <v>0</v>
      </c>
      <c r="U579" s="394">
        <v>0</v>
      </c>
      <c r="V579" s="394">
        <v>0</v>
      </c>
      <c r="W579" s="394">
        <v>0</v>
      </c>
      <c r="X579" s="398"/>
      <c r="AC579" s="26">
        <v>10</v>
      </c>
      <c r="AD579" s="27" t="s">
        <v>75</v>
      </c>
      <c r="AE579" s="394" t="s">
        <v>20</v>
      </c>
      <c r="AF579" s="394" t="s">
        <v>20</v>
      </c>
      <c r="AG579" s="394" t="s">
        <v>20</v>
      </c>
      <c r="AH579" s="394" t="s">
        <v>20</v>
      </c>
      <c r="AI579" s="394" t="s">
        <v>20</v>
      </c>
      <c r="AJ579" s="394" t="s">
        <v>20</v>
      </c>
      <c r="AK579" s="394" t="s">
        <v>20</v>
      </c>
      <c r="AL579" s="347"/>
    </row>
    <row r="580" spans="1:38" ht="24.95" customHeight="1">
      <c r="A580" s="26">
        <v>11</v>
      </c>
      <c r="B580" s="35" t="s">
        <v>76</v>
      </c>
      <c r="C580" s="394">
        <v>0</v>
      </c>
      <c r="D580" s="394">
        <v>0</v>
      </c>
      <c r="E580" s="394">
        <v>0</v>
      </c>
      <c r="F580" s="394">
        <v>0</v>
      </c>
      <c r="G580" s="394">
        <v>0</v>
      </c>
      <c r="H580" s="394">
        <v>0</v>
      </c>
      <c r="I580" s="394">
        <v>0</v>
      </c>
      <c r="J580" s="398"/>
      <c r="K580" s="337"/>
      <c r="O580" s="26">
        <v>11</v>
      </c>
      <c r="P580" s="35" t="s">
        <v>76</v>
      </c>
      <c r="Q580" s="452">
        <v>0</v>
      </c>
      <c r="R580" s="452">
        <v>0</v>
      </c>
      <c r="S580" s="452">
        <v>0</v>
      </c>
      <c r="T580" s="452">
        <v>0</v>
      </c>
      <c r="U580" s="452">
        <v>0</v>
      </c>
      <c r="V580" s="452">
        <v>0</v>
      </c>
      <c r="W580" s="452">
        <v>0</v>
      </c>
      <c r="X580" s="398"/>
      <c r="AC580" s="26">
        <v>11</v>
      </c>
      <c r="AD580" s="35" t="s">
        <v>76</v>
      </c>
      <c r="AE580" s="452" t="s">
        <v>20</v>
      </c>
      <c r="AF580" s="452" t="s">
        <v>20</v>
      </c>
      <c r="AG580" s="452" t="s">
        <v>20</v>
      </c>
      <c r="AH580" s="452" t="s">
        <v>20</v>
      </c>
      <c r="AI580" s="453" t="s">
        <v>20</v>
      </c>
      <c r="AJ580" s="452" t="s">
        <v>20</v>
      </c>
      <c r="AK580" s="452" t="s">
        <v>20</v>
      </c>
      <c r="AL580" s="347"/>
    </row>
    <row r="581" spans="1:38" ht="24.95" customHeight="1">
      <c r="A581" s="664" t="s">
        <v>77</v>
      </c>
      <c r="B581" s="665"/>
      <c r="C581" s="384">
        <f>SUM(C570:C580)</f>
        <v>0</v>
      </c>
      <c r="D581" s="317">
        <f>SUM(D570:D580)</f>
        <v>0</v>
      </c>
      <c r="E581" s="384">
        <f>SUM(E570:E580)</f>
        <v>12</v>
      </c>
      <c r="F581" s="317">
        <f>SUM(F570:F580)</f>
        <v>12</v>
      </c>
      <c r="G581" s="371">
        <f>H581/1000*D581</f>
        <v>0</v>
      </c>
      <c r="H581" s="317">
        <v>604</v>
      </c>
      <c r="I581" s="382">
        <f>SUM(I570:I580)</f>
        <v>108</v>
      </c>
      <c r="J581" s="432">
        <f>SUM(J570:J580)</f>
        <v>0</v>
      </c>
      <c r="K581" s="337">
        <f>SUM(K570:K580)</f>
        <v>0</v>
      </c>
      <c r="L581" s="337">
        <f t="shared" ref="L581:N581" si="196">SUM(L570:L580)</f>
        <v>0</v>
      </c>
      <c r="M581" s="337">
        <f t="shared" si="196"/>
        <v>0</v>
      </c>
      <c r="N581" s="337">
        <f t="shared" si="196"/>
        <v>0</v>
      </c>
      <c r="O581" s="664" t="s">
        <v>77</v>
      </c>
      <c r="P581" s="665"/>
      <c r="Q581" s="384">
        <f>SUM(Q570:Q580)</f>
        <v>0</v>
      </c>
      <c r="R581" s="317">
        <f>SUM(R570:R580)</f>
        <v>0</v>
      </c>
      <c r="S581" s="384">
        <f>SUM(S570:S580)</f>
        <v>12</v>
      </c>
      <c r="T581" s="317">
        <f>SUM(T570:T580)</f>
        <v>12</v>
      </c>
      <c r="U581" s="371">
        <f>V581/1000*R581</f>
        <v>0</v>
      </c>
      <c r="V581" s="317">
        <v>604</v>
      </c>
      <c r="W581" s="382">
        <f>SUM(W570:W580)</f>
        <v>108</v>
      </c>
      <c r="X581" s="432"/>
      <c r="AC581" s="666" t="s">
        <v>77</v>
      </c>
      <c r="AD581" s="667"/>
      <c r="AE581" s="384">
        <f>SUM(AE570:AE580)</f>
        <v>0</v>
      </c>
      <c r="AF581" s="317">
        <f>SUM(AF570:AF580)</f>
        <v>1</v>
      </c>
      <c r="AG581" s="384">
        <f>SUM(AG570:AG580)</f>
        <v>14</v>
      </c>
      <c r="AH581" s="317">
        <f>SUM(AH570:AH580)</f>
        <v>15</v>
      </c>
      <c r="AI581" s="371">
        <f>AJ581/1000*AF581</f>
        <v>0.60399999999999998</v>
      </c>
      <c r="AJ581" s="317">
        <v>604</v>
      </c>
      <c r="AK581" s="382">
        <f>SUM(AK570:AK580)</f>
        <v>119</v>
      </c>
      <c r="AL581" s="458"/>
    </row>
    <row r="582" spans="1:38" ht="24.95" customHeight="1">
      <c r="C582" s="273">
        <f>C581-Q581</f>
        <v>0</v>
      </c>
      <c r="D582" s="273">
        <f t="shared" ref="D582:I582" si="197">D581-R581</f>
        <v>0</v>
      </c>
      <c r="E582" s="273">
        <f t="shared" si="197"/>
        <v>0</v>
      </c>
      <c r="F582" s="273">
        <f t="shared" si="197"/>
        <v>0</v>
      </c>
      <c r="G582" s="345">
        <f t="shared" si="197"/>
        <v>0</v>
      </c>
      <c r="H582" s="273">
        <f t="shared" si="197"/>
        <v>0</v>
      </c>
      <c r="I582" s="273">
        <f t="shared" si="197"/>
        <v>0</v>
      </c>
      <c r="Q582" s="273">
        <f t="shared" ref="Q582" si="198">AE581-Q581</f>
        <v>0</v>
      </c>
      <c r="R582" s="273">
        <f t="shared" ref="R582:W582" si="199">R581-AF581</f>
        <v>-1</v>
      </c>
      <c r="S582" s="273">
        <f t="shared" si="199"/>
        <v>-2</v>
      </c>
      <c r="T582" s="273">
        <f t="shared" si="199"/>
        <v>-3</v>
      </c>
      <c r="U582" s="273">
        <f t="shared" si="199"/>
        <v>-0.60399999999999998</v>
      </c>
      <c r="V582" s="273">
        <f t="shared" si="199"/>
        <v>0</v>
      </c>
      <c r="W582" s="273">
        <f t="shared" si="199"/>
        <v>-11</v>
      </c>
    </row>
    <row r="583" spans="1:38" ht="24.95" customHeight="1">
      <c r="B583" s="6" t="s">
        <v>12</v>
      </c>
      <c r="C583" s="320" t="s">
        <v>33</v>
      </c>
      <c r="D583" s="2"/>
      <c r="F583" s="118"/>
      <c r="G583" s="1"/>
      <c r="P583" s="6" t="s">
        <v>12</v>
      </c>
      <c r="Q583" s="320" t="s">
        <v>33</v>
      </c>
      <c r="R583" s="2"/>
      <c r="T583" s="118"/>
      <c r="U583" s="1"/>
      <c r="V583" t="e">
        <f>U581/R581*1000</f>
        <v>#DIV/0!</v>
      </c>
      <c r="AD583" s="385"/>
      <c r="AE583" s="118"/>
      <c r="AF583" s="118"/>
      <c r="AG583" s="118"/>
      <c r="AH583" s="118"/>
      <c r="AI583" s="1" t="s">
        <v>104</v>
      </c>
    </row>
    <row r="584" spans="1:38" ht="24.95" customHeight="1">
      <c r="B584" s="6" t="s">
        <v>13</v>
      </c>
      <c r="C584" s="320" t="s">
        <v>34</v>
      </c>
      <c r="D584" s="2"/>
      <c r="G584" s="650"/>
      <c r="H584" s="637"/>
      <c r="I584" s="637"/>
      <c r="J584" s="637"/>
      <c r="K584" s="48"/>
      <c r="P584" s="6" t="s">
        <v>13</v>
      </c>
      <c r="Q584" s="320" t="s">
        <v>34</v>
      </c>
      <c r="R584" s="2"/>
      <c r="U584" s="650"/>
      <c r="V584" s="637"/>
      <c r="W584" s="637"/>
      <c r="X584" s="637"/>
      <c r="AI584" s="266" t="s">
        <v>105</v>
      </c>
      <c r="AJ584" s="323"/>
      <c r="AK584" s="323"/>
      <c r="AL584" s="323"/>
    </row>
    <row r="585" spans="1:38" ht="24.95" customHeight="1">
      <c r="B585" s="6" t="s">
        <v>14</v>
      </c>
      <c r="C585" s="320" t="s">
        <v>35</v>
      </c>
      <c r="D585" s="2"/>
      <c r="G585" s="1"/>
      <c r="P585" s="6" t="s">
        <v>14</v>
      </c>
      <c r="Q585" s="320" t="s">
        <v>35</v>
      </c>
      <c r="R585" s="2"/>
      <c r="U585" s="1"/>
      <c r="AI585" s="1" t="s">
        <v>106</v>
      </c>
    </row>
    <row r="586" spans="1:38" ht="24.95" customHeight="1">
      <c r="G586" s="650"/>
      <c r="H586" s="650"/>
      <c r="I586" s="650"/>
      <c r="J586" s="650"/>
      <c r="K586" s="47"/>
      <c r="U586" s="650"/>
      <c r="V586" s="650"/>
      <c r="W586" s="650"/>
      <c r="X586" s="650"/>
      <c r="AI586" s="650"/>
      <c r="AJ586" s="650"/>
      <c r="AK586" s="650"/>
      <c r="AL586" s="650"/>
    </row>
    <row r="587" spans="1:38" ht="24.95" customHeight="1">
      <c r="G587" s="48"/>
      <c r="H587" s="48"/>
      <c r="I587" s="48"/>
      <c r="J587" s="48"/>
      <c r="K587" s="48"/>
      <c r="U587" s="48"/>
      <c r="V587" s="48"/>
      <c r="W587" s="48"/>
      <c r="X587" s="48"/>
      <c r="AI587" s="48"/>
      <c r="AJ587" s="48"/>
      <c r="AK587" s="48"/>
      <c r="AL587" s="48"/>
    </row>
    <row r="588" spans="1:38" ht="24.95" customHeight="1">
      <c r="G588" s="48"/>
      <c r="H588" s="48"/>
      <c r="I588" s="48"/>
      <c r="J588" s="48"/>
      <c r="K588" s="48"/>
      <c r="U588" s="48"/>
      <c r="V588" s="48"/>
      <c r="W588" s="48"/>
      <c r="X588" s="48"/>
      <c r="AI588" s="48"/>
      <c r="AJ588" s="48"/>
      <c r="AK588" s="48"/>
      <c r="AL588" s="48"/>
    </row>
    <row r="589" spans="1:38" ht="24.95" customHeight="1">
      <c r="G589" s="48"/>
      <c r="H589" s="48"/>
      <c r="I589" s="48"/>
      <c r="J589" s="48"/>
      <c r="K589" s="48"/>
      <c r="U589" s="48"/>
      <c r="V589" s="48"/>
      <c r="W589" s="48"/>
      <c r="X589" s="48"/>
      <c r="AI589" s="48"/>
      <c r="AJ589" s="48"/>
      <c r="AK589" s="48"/>
      <c r="AL589" s="48"/>
    </row>
    <row r="590" spans="1:38" ht="24.95" customHeight="1">
      <c r="G590" s="48"/>
      <c r="H590" s="48"/>
      <c r="I590" s="48"/>
      <c r="J590" s="48"/>
      <c r="K590" s="48"/>
      <c r="U590" s="48"/>
      <c r="V590" s="48"/>
      <c r="W590" s="48"/>
      <c r="X590" s="48"/>
      <c r="AI590" s="48"/>
      <c r="AJ590" s="48"/>
      <c r="AK590" s="48"/>
      <c r="AL590" s="48"/>
    </row>
    <row r="591" spans="1:38" ht="24.95" customHeight="1">
      <c r="G591" s="48"/>
      <c r="H591" s="48"/>
      <c r="I591" s="48"/>
      <c r="J591" s="48"/>
      <c r="K591" s="48"/>
      <c r="U591" s="48"/>
      <c r="V591" s="48"/>
      <c r="W591" s="48"/>
      <c r="X591" s="48"/>
      <c r="AI591" s="48"/>
      <c r="AJ591" s="48"/>
      <c r="AK591" s="48"/>
      <c r="AL591" s="48"/>
    </row>
    <row r="592" spans="1:38" ht="24.95" customHeight="1">
      <c r="G592" s="48"/>
      <c r="H592" s="48"/>
      <c r="I592" s="48"/>
      <c r="J592" s="48"/>
      <c r="K592" s="48"/>
      <c r="U592" s="48"/>
      <c r="V592" s="48"/>
      <c r="W592" s="48"/>
      <c r="X592" s="48"/>
      <c r="AI592" s="48"/>
      <c r="AJ592" s="48"/>
      <c r="AK592" s="48"/>
      <c r="AL592" s="48"/>
    </row>
    <row r="593" spans="1:38" ht="24.95" customHeight="1">
      <c r="G593" s="48"/>
      <c r="H593" s="48"/>
      <c r="I593" s="48"/>
      <c r="J593" s="48"/>
      <c r="K593" s="48"/>
      <c r="U593" s="48"/>
      <c r="V593" s="48"/>
      <c r="W593" s="48"/>
      <c r="X593" s="48"/>
      <c r="AI593" s="48"/>
      <c r="AJ593" s="48"/>
      <c r="AK593" s="48"/>
      <c r="AL593" s="48"/>
    </row>
    <row r="594" spans="1:38" ht="24.95" customHeight="1">
      <c r="G594" s="48"/>
      <c r="H594" s="48"/>
      <c r="I594" s="48"/>
      <c r="J594" s="48"/>
      <c r="K594" s="48"/>
      <c r="U594" s="48"/>
      <c r="V594" s="48"/>
      <c r="W594" s="48"/>
      <c r="X594" s="48"/>
      <c r="AI594" s="48"/>
      <c r="AJ594" s="48"/>
      <c r="AK594" s="48"/>
      <c r="AL594" s="48"/>
    </row>
    <row r="595" spans="1:38" ht="24.95" customHeight="1">
      <c r="G595" s="48"/>
      <c r="H595" s="48"/>
      <c r="I595" s="48"/>
      <c r="J595" s="48"/>
      <c r="K595" s="48"/>
      <c r="U595" s="48"/>
      <c r="V595" s="48"/>
      <c r="W595" s="48"/>
      <c r="X595" s="48"/>
      <c r="AI595" s="48"/>
      <c r="AJ595" s="48"/>
      <c r="AK595" s="48"/>
      <c r="AL595" s="48"/>
    </row>
    <row r="596" spans="1:38" ht="24.95" customHeight="1">
      <c r="G596" s="48"/>
      <c r="H596" s="48"/>
      <c r="I596" s="48"/>
      <c r="J596" s="48"/>
      <c r="K596" s="48"/>
      <c r="U596" s="48"/>
      <c r="V596" s="48"/>
      <c r="W596" s="48"/>
      <c r="X596" s="48"/>
      <c r="AI596" s="48"/>
      <c r="AJ596" s="48"/>
      <c r="AK596" s="48"/>
      <c r="AL596" s="48"/>
    </row>
    <row r="597" spans="1:38" ht="24.95" customHeight="1">
      <c r="G597" s="48"/>
      <c r="H597" s="48"/>
      <c r="I597" s="48"/>
      <c r="J597" s="48"/>
      <c r="K597" s="48"/>
      <c r="U597" s="48"/>
      <c r="V597" s="48"/>
      <c r="W597" s="48"/>
      <c r="X597" s="48"/>
      <c r="AI597" s="48"/>
      <c r="AJ597" s="48"/>
      <c r="AK597" s="48"/>
      <c r="AL597" s="48"/>
    </row>
    <row r="598" spans="1:38" ht="24.95" customHeight="1">
      <c r="G598" s="48"/>
      <c r="H598" s="48"/>
      <c r="I598" s="48"/>
      <c r="J598" s="48"/>
      <c r="K598" s="48"/>
      <c r="U598" s="48"/>
      <c r="V598" s="48"/>
      <c r="W598" s="48"/>
      <c r="X598" s="48"/>
      <c r="AI598" s="48"/>
      <c r="AJ598" s="48"/>
      <c r="AK598" s="48"/>
      <c r="AL598" s="48"/>
    </row>
    <row r="599" spans="1:38" ht="24.95" customHeight="1">
      <c r="A599" s="632" t="s">
        <v>59</v>
      </c>
      <c r="B599" s="632"/>
      <c r="C599" s="632"/>
      <c r="D599" s="632"/>
      <c r="E599" s="632"/>
      <c r="F599" s="632"/>
      <c r="G599" s="632"/>
      <c r="H599" s="632"/>
      <c r="I599" s="632"/>
      <c r="J599" s="632"/>
      <c r="K599" s="296"/>
      <c r="O599" s="632" t="s">
        <v>59</v>
      </c>
      <c r="P599" s="632"/>
      <c r="Q599" s="632"/>
      <c r="R599" s="632"/>
      <c r="S599" s="632"/>
      <c r="T599" s="632"/>
      <c r="U599" s="632"/>
      <c r="V599" s="632"/>
      <c r="W599" s="632"/>
      <c r="X599" s="632"/>
      <c r="AC599" s="663" t="s">
        <v>59</v>
      </c>
      <c r="AD599" s="663"/>
      <c r="AE599" s="663"/>
      <c r="AF599" s="663"/>
      <c r="AG599" s="663"/>
      <c r="AH599" s="663"/>
      <c r="AI599" s="663"/>
      <c r="AJ599" s="663"/>
      <c r="AK599" s="663"/>
      <c r="AL599" s="663"/>
    </row>
    <row r="600" spans="1:38" ht="24.95" customHeight="1">
      <c r="A600" s="632" t="s">
        <v>1</v>
      </c>
      <c r="B600" s="632"/>
      <c r="C600" s="632"/>
      <c r="D600" s="632"/>
      <c r="E600" s="632"/>
      <c r="F600" s="632"/>
      <c r="G600" s="632"/>
      <c r="H600" s="632"/>
      <c r="I600" s="632"/>
      <c r="J600" s="632"/>
      <c r="K600" s="296"/>
      <c r="O600" s="632" t="s">
        <v>1</v>
      </c>
      <c r="P600" s="632"/>
      <c r="Q600" s="632"/>
      <c r="R600" s="632"/>
      <c r="S600" s="632"/>
      <c r="T600" s="632"/>
      <c r="U600" s="632"/>
      <c r="V600" s="632"/>
      <c r="W600" s="632"/>
      <c r="X600" s="632"/>
      <c r="AC600" s="663" t="s">
        <v>1</v>
      </c>
      <c r="AD600" s="663"/>
      <c r="AE600" s="663"/>
      <c r="AF600" s="663"/>
      <c r="AG600" s="663"/>
      <c r="AH600" s="663"/>
      <c r="AI600" s="663"/>
      <c r="AJ600" s="663"/>
      <c r="AK600" s="663"/>
      <c r="AL600" s="663"/>
    </row>
    <row r="601" spans="1:38" ht="24.95" customHeight="1">
      <c r="A601" s="632" t="s">
        <v>206</v>
      </c>
      <c r="B601" s="632"/>
      <c r="C601" s="632"/>
      <c r="D601" s="632"/>
      <c r="E601" s="632"/>
      <c r="F601" s="632"/>
      <c r="G601" s="632"/>
      <c r="H601" s="632"/>
      <c r="I601" s="632"/>
      <c r="J601" s="632"/>
      <c r="K601" s="623"/>
      <c r="O601" s="632" t="s">
        <v>60</v>
      </c>
      <c r="P601" s="632"/>
      <c r="Q601" s="632"/>
      <c r="R601" s="632"/>
      <c r="S601" s="632"/>
      <c r="T601" s="632"/>
      <c r="U601" s="632"/>
      <c r="V601" s="632"/>
      <c r="W601" s="632"/>
      <c r="X601" s="632"/>
      <c r="AC601" s="663" t="s">
        <v>107</v>
      </c>
      <c r="AD601" s="663"/>
      <c r="AE601" s="663"/>
      <c r="AF601" s="663"/>
      <c r="AG601" s="663"/>
      <c r="AH601" s="663"/>
      <c r="AI601" s="663"/>
      <c r="AJ601" s="663"/>
      <c r="AK601" s="663"/>
      <c r="AL601" s="663"/>
    </row>
    <row r="602" spans="1:38" ht="24.9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AC602" s="82"/>
      <c r="AD602" s="82"/>
      <c r="AE602" s="82"/>
      <c r="AF602" s="82"/>
      <c r="AG602" s="82"/>
      <c r="AH602" s="82"/>
      <c r="AI602" s="82"/>
      <c r="AJ602" s="82"/>
      <c r="AK602" s="82"/>
      <c r="AL602" s="82"/>
    </row>
    <row r="603" spans="1:38" ht="24.95" customHeight="1"/>
    <row r="604" spans="1:38" ht="24.95" customHeight="1">
      <c r="A604" t="s">
        <v>61</v>
      </c>
      <c r="C604" s="1" t="s">
        <v>100</v>
      </c>
      <c r="O604" t="s">
        <v>61</v>
      </c>
      <c r="Q604" s="1" t="s">
        <v>100</v>
      </c>
      <c r="AC604" t="s">
        <v>61</v>
      </c>
      <c r="AE604" s="1" t="s">
        <v>100</v>
      </c>
    </row>
    <row r="605" spans="1:38" ht="24.95" customHeight="1">
      <c r="A605" s="1"/>
      <c r="E605" s="1"/>
      <c r="O605" s="1"/>
      <c r="S605" s="1"/>
      <c r="AC605" s="1"/>
      <c r="AG605" s="1"/>
    </row>
    <row r="606" spans="1:38" ht="24.95" customHeight="1"/>
    <row r="607" spans="1:38" ht="30" customHeight="1">
      <c r="A607" s="297" t="s">
        <v>4</v>
      </c>
      <c r="B607" s="298" t="s">
        <v>63</v>
      </c>
      <c r="C607" s="298" t="s">
        <v>12</v>
      </c>
      <c r="D607" s="298" t="s">
        <v>13</v>
      </c>
      <c r="E607" s="298" t="s">
        <v>14</v>
      </c>
      <c r="F607" s="299" t="s">
        <v>86</v>
      </c>
      <c r="G607" s="299" t="s">
        <v>8</v>
      </c>
      <c r="H607" s="299" t="s">
        <v>9</v>
      </c>
      <c r="I607" s="299" t="s">
        <v>10</v>
      </c>
      <c r="J607" s="330" t="s">
        <v>11</v>
      </c>
      <c r="K607" s="378" t="s">
        <v>102</v>
      </c>
      <c r="O607" s="297" t="s">
        <v>4</v>
      </c>
      <c r="P607" s="298" t="s">
        <v>63</v>
      </c>
      <c r="Q607" s="298" t="s">
        <v>12</v>
      </c>
      <c r="R607" s="298" t="s">
        <v>13</v>
      </c>
      <c r="S607" s="298" t="s">
        <v>14</v>
      </c>
      <c r="T607" s="299" t="s">
        <v>86</v>
      </c>
      <c r="U607" s="299" t="s">
        <v>8</v>
      </c>
      <c r="V607" s="299" t="s">
        <v>9</v>
      </c>
      <c r="W607" s="299" t="s">
        <v>10</v>
      </c>
      <c r="X607" s="330" t="s">
        <v>11</v>
      </c>
      <c r="Z607" s="357" t="s">
        <v>103</v>
      </c>
      <c r="AC607" s="297" t="s">
        <v>4</v>
      </c>
      <c r="AD607" s="298" t="s">
        <v>63</v>
      </c>
      <c r="AE607" s="298" t="s">
        <v>12</v>
      </c>
      <c r="AF607" s="298" t="s">
        <v>13</v>
      </c>
      <c r="AG607" s="298" t="s">
        <v>14</v>
      </c>
      <c r="AH607" s="299" t="s">
        <v>86</v>
      </c>
      <c r="AI607" s="299" t="s">
        <v>8</v>
      </c>
      <c r="AJ607" s="299" t="s">
        <v>9</v>
      </c>
      <c r="AK607" s="299" t="s">
        <v>10</v>
      </c>
      <c r="AL607" s="330" t="s">
        <v>11</v>
      </c>
    </row>
    <row r="608" spans="1:38" ht="24.95" customHeight="1">
      <c r="A608" s="300">
        <v>1</v>
      </c>
      <c r="B608" s="301">
        <v>2</v>
      </c>
      <c r="C608" s="301">
        <v>3</v>
      </c>
      <c r="D608" s="301">
        <v>4</v>
      </c>
      <c r="E608" s="301">
        <v>5</v>
      </c>
      <c r="F608" s="301">
        <v>6</v>
      </c>
      <c r="G608" s="301">
        <v>7</v>
      </c>
      <c r="H608" s="301">
        <v>8</v>
      </c>
      <c r="I608" s="301">
        <v>9</v>
      </c>
      <c r="J608" s="333">
        <v>10</v>
      </c>
      <c r="K608" s="334" t="s">
        <v>12</v>
      </c>
      <c r="L608" s="1" t="s">
        <v>13</v>
      </c>
      <c r="M608" s="1" t="s">
        <v>14</v>
      </c>
      <c r="N608" s="1" t="s">
        <v>65</v>
      </c>
      <c r="O608" s="300">
        <v>1</v>
      </c>
      <c r="P608" s="301">
        <v>2</v>
      </c>
      <c r="Q608" s="301">
        <v>3</v>
      </c>
      <c r="R608" s="301">
        <v>4</v>
      </c>
      <c r="S608" s="301">
        <v>5</v>
      </c>
      <c r="T608" s="301">
        <v>6</v>
      </c>
      <c r="U608" s="301">
        <v>7</v>
      </c>
      <c r="V608" s="301">
        <v>8</v>
      </c>
      <c r="W608" s="301">
        <v>9</v>
      </c>
      <c r="X608" s="333">
        <v>10</v>
      </c>
      <c r="Y608" s="1" t="s">
        <v>94</v>
      </c>
      <c r="Z608" s="1" t="s">
        <v>95</v>
      </c>
      <c r="AA608" s="1" t="s">
        <v>96</v>
      </c>
      <c r="AC608" s="300">
        <v>1</v>
      </c>
      <c r="AD608" s="301">
        <v>2</v>
      </c>
      <c r="AE608" s="301">
        <v>3</v>
      </c>
      <c r="AF608" s="301">
        <v>4</v>
      </c>
      <c r="AG608" s="301">
        <v>5</v>
      </c>
      <c r="AH608" s="301">
        <v>6</v>
      </c>
      <c r="AI608" s="301">
        <v>7</v>
      </c>
      <c r="AJ608" s="301">
        <v>8</v>
      </c>
      <c r="AK608" s="301">
        <v>9</v>
      </c>
      <c r="AL608" s="333">
        <v>10</v>
      </c>
    </row>
    <row r="609" spans="1:38" ht="24.95" customHeight="1">
      <c r="A609" s="16">
        <v>1</v>
      </c>
      <c r="B609" s="17" t="s">
        <v>82</v>
      </c>
      <c r="C609" s="394">
        <v>0</v>
      </c>
      <c r="D609" s="394">
        <v>0</v>
      </c>
      <c r="E609" s="565">
        <v>0</v>
      </c>
      <c r="F609" s="394">
        <v>0</v>
      </c>
      <c r="G609" s="394">
        <v>0</v>
      </c>
      <c r="H609" s="394">
        <v>0</v>
      </c>
      <c r="I609" s="394">
        <v>0</v>
      </c>
      <c r="J609" s="347"/>
      <c r="K609" s="348"/>
      <c r="O609" s="16">
        <v>1</v>
      </c>
      <c r="P609" s="17" t="s">
        <v>82</v>
      </c>
      <c r="Q609" s="394">
        <v>0</v>
      </c>
      <c r="R609" s="394">
        <v>0</v>
      </c>
      <c r="S609" s="394">
        <v>0</v>
      </c>
      <c r="T609" s="394">
        <v>0</v>
      </c>
      <c r="U609" s="394">
        <v>0</v>
      </c>
      <c r="V609" s="394">
        <v>0</v>
      </c>
      <c r="W609" s="394">
        <v>0</v>
      </c>
      <c r="X609" s="347"/>
      <c r="AC609" s="16">
        <v>1</v>
      </c>
      <c r="AD609" s="17" t="s">
        <v>82</v>
      </c>
      <c r="AE609" s="394" t="s">
        <v>20</v>
      </c>
      <c r="AF609" s="394" t="s">
        <v>20</v>
      </c>
      <c r="AG609" s="394" t="s">
        <v>20</v>
      </c>
      <c r="AH609" s="394" t="s">
        <v>20</v>
      </c>
      <c r="AI609" s="394" t="s">
        <v>20</v>
      </c>
      <c r="AJ609" s="394" t="s">
        <v>20</v>
      </c>
      <c r="AK609" s="394" t="s">
        <v>20</v>
      </c>
      <c r="AL609" s="347"/>
    </row>
    <row r="610" spans="1:38" ht="24.95" customHeight="1">
      <c r="A610" s="22">
        <v>2</v>
      </c>
      <c r="B610" s="23" t="s">
        <v>67</v>
      </c>
      <c r="C610" s="394">
        <v>0</v>
      </c>
      <c r="D610" s="394">
        <v>0</v>
      </c>
      <c r="E610" s="565">
        <v>0</v>
      </c>
      <c r="F610" s="394">
        <v>0</v>
      </c>
      <c r="G610" s="394">
        <v>0</v>
      </c>
      <c r="H610" s="394">
        <v>0</v>
      </c>
      <c r="I610" s="394">
        <v>0</v>
      </c>
      <c r="J610" s="398"/>
      <c r="K610" s="348"/>
      <c r="O610" s="22">
        <v>2</v>
      </c>
      <c r="P610" s="23" t="s">
        <v>67</v>
      </c>
      <c r="Q610" s="394">
        <v>0</v>
      </c>
      <c r="R610" s="394">
        <v>0</v>
      </c>
      <c r="S610" s="394">
        <v>0</v>
      </c>
      <c r="T610" s="394">
        <v>0</v>
      </c>
      <c r="U610" s="394">
        <v>0</v>
      </c>
      <c r="V610" s="394">
        <v>0</v>
      </c>
      <c r="W610" s="394">
        <v>0</v>
      </c>
      <c r="X610" s="398"/>
      <c r="AC610" s="22">
        <v>2</v>
      </c>
      <c r="AD610" s="23" t="s">
        <v>67</v>
      </c>
      <c r="AE610" s="394" t="s">
        <v>20</v>
      </c>
      <c r="AF610" s="394" t="s">
        <v>20</v>
      </c>
      <c r="AG610" s="394" t="s">
        <v>20</v>
      </c>
      <c r="AH610" s="394" t="s">
        <v>20</v>
      </c>
      <c r="AI610" s="394" t="s">
        <v>20</v>
      </c>
      <c r="AJ610" s="394" t="s">
        <v>20</v>
      </c>
      <c r="AK610" s="394" t="s">
        <v>20</v>
      </c>
      <c r="AL610" s="398"/>
    </row>
    <row r="611" spans="1:38" ht="24.95" customHeight="1">
      <c r="A611" s="26">
        <v>3</v>
      </c>
      <c r="B611" s="27" t="s">
        <v>68</v>
      </c>
      <c r="C611" s="394">
        <v>0</v>
      </c>
      <c r="D611" s="394">
        <v>0</v>
      </c>
      <c r="E611" s="565">
        <v>0</v>
      </c>
      <c r="F611" s="394">
        <v>0</v>
      </c>
      <c r="G611" s="394">
        <v>0</v>
      </c>
      <c r="H611" s="394">
        <v>0</v>
      </c>
      <c r="I611" s="394">
        <v>0</v>
      </c>
      <c r="J611" s="420"/>
      <c r="K611" s="348"/>
      <c r="O611" s="26">
        <v>3</v>
      </c>
      <c r="P611" s="27" t="s">
        <v>68</v>
      </c>
      <c r="Q611" s="394">
        <v>0</v>
      </c>
      <c r="R611" s="394">
        <v>0</v>
      </c>
      <c r="S611" s="394">
        <v>0</v>
      </c>
      <c r="T611" s="394">
        <v>0</v>
      </c>
      <c r="U611" s="394">
        <v>0</v>
      </c>
      <c r="V611" s="394">
        <v>0</v>
      </c>
      <c r="W611" s="394">
        <v>0</v>
      </c>
      <c r="X611" s="420"/>
      <c r="AC611" s="26">
        <v>3</v>
      </c>
      <c r="AD611" s="27" t="s">
        <v>68</v>
      </c>
      <c r="AE611" s="394" t="s">
        <v>20</v>
      </c>
      <c r="AF611" s="394" t="s">
        <v>20</v>
      </c>
      <c r="AG611" s="394" t="s">
        <v>20</v>
      </c>
      <c r="AH611" s="394" t="s">
        <v>20</v>
      </c>
      <c r="AI611" s="394" t="s">
        <v>20</v>
      </c>
      <c r="AJ611" s="394" t="s">
        <v>20</v>
      </c>
      <c r="AK611" s="394" t="s">
        <v>20</v>
      </c>
      <c r="AL611" s="420"/>
    </row>
    <row r="612" spans="1:38" ht="24.95" customHeight="1">
      <c r="A612" s="26">
        <v>4</v>
      </c>
      <c r="B612" s="310" t="s">
        <v>69</v>
      </c>
      <c r="C612" s="394">
        <v>0</v>
      </c>
      <c r="D612" s="394">
        <v>0</v>
      </c>
      <c r="E612" s="565">
        <v>0</v>
      </c>
      <c r="F612" s="394">
        <v>0</v>
      </c>
      <c r="G612" s="394">
        <v>0</v>
      </c>
      <c r="H612" s="394">
        <v>0</v>
      </c>
      <c r="I612" s="394">
        <v>0</v>
      </c>
      <c r="J612" s="347">
        <f>F612-T612</f>
        <v>0</v>
      </c>
      <c r="K612" s="348">
        <f>C612-Q612</f>
        <v>0</v>
      </c>
      <c r="L612" s="287">
        <f>D612-R612</f>
        <v>0</v>
      </c>
      <c r="M612" s="372">
        <f>E612-S612</f>
        <v>0</v>
      </c>
      <c r="N612" s="273">
        <f>I612-W612</f>
        <v>0</v>
      </c>
      <c r="O612" s="26">
        <v>4</v>
      </c>
      <c r="P612" s="340" t="s">
        <v>69</v>
      </c>
      <c r="Q612" s="454">
        <f>1.5-1.5</f>
        <v>0</v>
      </c>
      <c r="R612" s="97">
        <f>0.5+2-2.5</f>
        <v>0</v>
      </c>
      <c r="S612" s="408">
        <f>0.5+3-3.5</f>
        <v>0</v>
      </c>
      <c r="T612" s="97">
        <f>S612+R612+Q612</f>
        <v>0</v>
      </c>
      <c r="U612" s="421">
        <f>V612/1000*R612</f>
        <v>0</v>
      </c>
      <c r="V612" s="394">
        <v>0</v>
      </c>
      <c r="W612" s="394">
        <v>0</v>
      </c>
      <c r="X612" s="347"/>
      <c r="AA612" s="276">
        <f>S612-AG612</f>
        <v>-0.5</v>
      </c>
      <c r="AB612" s="276"/>
      <c r="AC612" s="26">
        <v>4</v>
      </c>
      <c r="AD612" s="27" t="s">
        <v>69</v>
      </c>
      <c r="AE612" s="457" t="s">
        <v>115</v>
      </c>
      <c r="AF612" s="97">
        <v>1</v>
      </c>
      <c r="AG612" s="97">
        <f>1.5-1</f>
        <v>0.5</v>
      </c>
      <c r="AH612" s="97">
        <f>AG612+AF612+AE612</f>
        <v>3.5</v>
      </c>
      <c r="AI612" s="421">
        <f>AJ612/1000*AF612</f>
        <v>0.66</v>
      </c>
      <c r="AJ612" s="394">
        <v>660</v>
      </c>
      <c r="AK612" s="394">
        <f>14-1</f>
        <v>13</v>
      </c>
      <c r="AL612" s="347"/>
    </row>
    <row r="613" spans="1:38" ht="24.95" customHeight="1">
      <c r="A613" s="26">
        <v>5</v>
      </c>
      <c r="B613" s="32" t="s">
        <v>70</v>
      </c>
      <c r="C613" s="394">
        <v>0</v>
      </c>
      <c r="D613" s="394">
        <v>0</v>
      </c>
      <c r="E613" s="565">
        <v>0</v>
      </c>
      <c r="F613" s="394">
        <v>0</v>
      </c>
      <c r="G613" s="394">
        <v>0</v>
      </c>
      <c r="H613" s="394">
        <v>0</v>
      </c>
      <c r="I613" s="394">
        <v>0</v>
      </c>
      <c r="J613" s="347"/>
      <c r="K613" s="348"/>
      <c r="O613" s="26">
        <v>5</v>
      </c>
      <c r="P613" s="32" t="s">
        <v>70</v>
      </c>
      <c r="Q613" s="394">
        <v>0</v>
      </c>
      <c r="R613" s="394">
        <v>0</v>
      </c>
      <c r="S613" s="394">
        <v>0</v>
      </c>
      <c r="T613" s="394">
        <v>0</v>
      </c>
      <c r="U613" s="394">
        <v>0</v>
      </c>
      <c r="V613" s="394">
        <v>0</v>
      </c>
      <c r="W613" s="394">
        <v>0</v>
      </c>
      <c r="X613" s="347"/>
      <c r="AC613" s="26">
        <v>5</v>
      </c>
      <c r="AD613" s="32" t="s">
        <v>70</v>
      </c>
      <c r="AE613" s="394" t="s">
        <v>20</v>
      </c>
      <c r="AF613" s="394" t="s">
        <v>20</v>
      </c>
      <c r="AG613" s="394" t="s">
        <v>20</v>
      </c>
      <c r="AH613" s="394" t="s">
        <v>20</v>
      </c>
      <c r="AI613" s="394" t="s">
        <v>20</v>
      </c>
      <c r="AJ613" s="394" t="s">
        <v>20</v>
      </c>
      <c r="AK613" s="394" t="s">
        <v>20</v>
      </c>
      <c r="AL613" s="347"/>
    </row>
    <row r="614" spans="1:38" ht="24.95" customHeight="1">
      <c r="A614" s="26">
        <v>6</v>
      </c>
      <c r="B614" s="27" t="s">
        <v>71</v>
      </c>
      <c r="C614" s="394">
        <v>0</v>
      </c>
      <c r="D614" s="394">
        <v>0</v>
      </c>
      <c r="E614" s="565">
        <v>0</v>
      </c>
      <c r="F614" s="394">
        <v>0</v>
      </c>
      <c r="G614" s="394">
        <v>0</v>
      </c>
      <c r="H614" s="394">
        <v>0</v>
      </c>
      <c r="I614" s="394">
        <v>0</v>
      </c>
      <c r="J614" s="347"/>
      <c r="K614" s="348"/>
      <c r="O614" s="26">
        <v>6</v>
      </c>
      <c r="P614" s="27" t="s">
        <v>71</v>
      </c>
      <c r="Q614" s="394">
        <v>0</v>
      </c>
      <c r="R614" s="394">
        <v>0</v>
      </c>
      <c r="S614" s="394">
        <v>0</v>
      </c>
      <c r="T614" s="394">
        <v>0</v>
      </c>
      <c r="U614" s="394">
        <v>0</v>
      </c>
      <c r="V614" s="394">
        <v>0</v>
      </c>
      <c r="W614" s="394">
        <v>0</v>
      </c>
      <c r="X614" s="347"/>
      <c r="AC614" s="26">
        <v>6</v>
      </c>
      <c r="AD614" s="27" t="s">
        <v>71</v>
      </c>
      <c r="AE614" s="394" t="s">
        <v>20</v>
      </c>
      <c r="AF614" s="394" t="s">
        <v>20</v>
      </c>
      <c r="AG614" s="394" t="s">
        <v>20</v>
      </c>
      <c r="AH614" s="394" t="s">
        <v>20</v>
      </c>
      <c r="AI614" s="394" t="s">
        <v>20</v>
      </c>
      <c r="AJ614" s="394" t="s">
        <v>20</v>
      </c>
      <c r="AK614" s="394" t="s">
        <v>20</v>
      </c>
      <c r="AL614" s="347"/>
    </row>
    <row r="615" spans="1:38" ht="24.95" customHeight="1">
      <c r="A615" s="26">
        <v>7</v>
      </c>
      <c r="B615" s="27" t="s">
        <v>72</v>
      </c>
      <c r="C615" s="394">
        <v>0</v>
      </c>
      <c r="D615" s="394">
        <v>0</v>
      </c>
      <c r="E615" s="565">
        <v>0</v>
      </c>
      <c r="F615" s="394">
        <v>0</v>
      </c>
      <c r="G615" s="394">
        <v>0</v>
      </c>
      <c r="H615" s="394">
        <v>0</v>
      </c>
      <c r="I615" s="394">
        <v>0</v>
      </c>
      <c r="J615" s="398"/>
      <c r="K615" s="348"/>
      <c r="O615" s="26">
        <v>7</v>
      </c>
      <c r="P615" s="27" t="s">
        <v>72</v>
      </c>
      <c r="Q615" s="394">
        <v>0</v>
      </c>
      <c r="R615" s="394">
        <v>0</v>
      </c>
      <c r="S615" s="394">
        <v>0</v>
      </c>
      <c r="T615" s="394">
        <v>0</v>
      </c>
      <c r="U615" s="394">
        <v>0</v>
      </c>
      <c r="V615" s="394">
        <v>0</v>
      </c>
      <c r="W615" s="394">
        <v>0</v>
      </c>
      <c r="X615" s="398"/>
      <c r="AC615" s="26">
        <v>7</v>
      </c>
      <c r="AD615" s="27" t="s">
        <v>72</v>
      </c>
      <c r="AE615" s="394" t="s">
        <v>20</v>
      </c>
      <c r="AF615" s="394" t="s">
        <v>20</v>
      </c>
      <c r="AG615" s="394" t="s">
        <v>20</v>
      </c>
      <c r="AH615" s="394" t="s">
        <v>20</v>
      </c>
      <c r="AI615" s="394" t="s">
        <v>20</v>
      </c>
      <c r="AJ615" s="394" t="s">
        <v>20</v>
      </c>
      <c r="AK615" s="394" t="s">
        <v>20</v>
      </c>
      <c r="AL615" s="398"/>
    </row>
    <row r="616" spans="1:38" ht="24.95" customHeight="1">
      <c r="A616" s="26">
        <v>8</v>
      </c>
      <c r="B616" s="310" t="s">
        <v>73</v>
      </c>
      <c r="C616" s="394">
        <v>0</v>
      </c>
      <c r="D616" s="394">
        <v>0</v>
      </c>
      <c r="E616" s="394">
        <v>1</v>
      </c>
      <c r="F616" s="394">
        <f>E616</f>
        <v>1</v>
      </c>
      <c r="G616" s="394">
        <v>0</v>
      </c>
      <c r="H616" s="394">
        <v>0</v>
      </c>
      <c r="I616" s="394">
        <v>1</v>
      </c>
      <c r="J616" s="398"/>
      <c r="K616" s="348">
        <f t="shared" ref="K616" si="200">C616-Q616</f>
        <v>0</v>
      </c>
      <c r="L616" s="348"/>
      <c r="M616" s="348">
        <f t="shared" ref="M616" si="201">E616-S616</f>
        <v>0</v>
      </c>
      <c r="N616" s="348">
        <f t="shared" ref="N616" si="202">F616-T616</f>
        <v>0</v>
      </c>
      <c r="O616" s="26">
        <v>8</v>
      </c>
      <c r="P616" s="310" t="s">
        <v>73</v>
      </c>
      <c r="Q616" s="394">
        <v>0</v>
      </c>
      <c r="R616" s="394">
        <v>0</v>
      </c>
      <c r="S616" s="394">
        <v>1</v>
      </c>
      <c r="T616" s="394">
        <f>S616</f>
        <v>1</v>
      </c>
      <c r="U616" s="394">
        <v>0</v>
      </c>
      <c r="V616" s="394">
        <v>0</v>
      </c>
      <c r="W616" s="394">
        <v>1</v>
      </c>
      <c r="X616" s="398"/>
      <c r="Y616" s="273">
        <f>Q616-AE616</f>
        <v>0</v>
      </c>
      <c r="Z616" s="273"/>
      <c r="AA616" s="273">
        <v>1</v>
      </c>
      <c r="AC616" s="26">
        <v>8</v>
      </c>
      <c r="AD616" s="27" t="s">
        <v>73</v>
      </c>
      <c r="AE616" s="394">
        <v>0</v>
      </c>
      <c r="AF616" s="394" t="s">
        <v>20</v>
      </c>
      <c r="AG616" s="394">
        <v>1</v>
      </c>
      <c r="AH616" s="394">
        <f>AG616</f>
        <v>1</v>
      </c>
      <c r="AI616" s="394" t="s">
        <v>20</v>
      </c>
      <c r="AJ616" s="394" t="s">
        <v>20</v>
      </c>
      <c r="AK616" s="394" t="s">
        <v>20</v>
      </c>
      <c r="AL616" s="398"/>
    </row>
    <row r="617" spans="1:38" ht="24.95" customHeight="1">
      <c r="A617" s="26">
        <v>9</v>
      </c>
      <c r="B617" s="27" t="s">
        <v>74</v>
      </c>
      <c r="C617" s="394">
        <v>0</v>
      </c>
      <c r="D617" s="394">
        <v>0</v>
      </c>
      <c r="E617" s="394">
        <v>0</v>
      </c>
      <c r="F617" s="394">
        <v>0</v>
      </c>
      <c r="G617" s="394">
        <v>0</v>
      </c>
      <c r="H617" s="394">
        <v>0</v>
      </c>
      <c r="I617" s="394">
        <v>0</v>
      </c>
      <c r="J617" s="398"/>
      <c r="K617" s="348"/>
      <c r="O617" s="26">
        <v>9</v>
      </c>
      <c r="P617" s="27" t="s">
        <v>74</v>
      </c>
      <c r="Q617" s="394">
        <v>0</v>
      </c>
      <c r="R617" s="394">
        <v>0</v>
      </c>
      <c r="S617" s="394">
        <v>0</v>
      </c>
      <c r="T617" s="394">
        <v>0</v>
      </c>
      <c r="U617" s="394">
        <v>0</v>
      </c>
      <c r="V617" s="394">
        <v>0</v>
      </c>
      <c r="W617" s="394">
        <v>0</v>
      </c>
      <c r="X617" s="398"/>
      <c r="AC617" s="26">
        <v>9</v>
      </c>
      <c r="AD617" s="27" t="s">
        <v>74</v>
      </c>
      <c r="AE617" s="394" t="s">
        <v>20</v>
      </c>
      <c r="AF617" s="394" t="s">
        <v>20</v>
      </c>
      <c r="AG617" s="394" t="s">
        <v>20</v>
      </c>
      <c r="AH617" s="394" t="str">
        <f>AE617</f>
        <v>-</v>
      </c>
      <c r="AI617" s="394" t="s">
        <v>20</v>
      </c>
      <c r="AJ617" s="394" t="s">
        <v>20</v>
      </c>
      <c r="AK617" s="394" t="s">
        <v>20</v>
      </c>
      <c r="AL617" s="398"/>
    </row>
    <row r="618" spans="1:38" ht="24.95" customHeight="1">
      <c r="A618" s="26">
        <v>10</v>
      </c>
      <c r="B618" s="27" t="s">
        <v>75</v>
      </c>
      <c r="C618" s="394">
        <v>0</v>
      </c>
      <c r="D618" s="394">
        <v>0</v>
      </c>
      <c r="E618" s="394">
        <v>0</v>
      </c>
      <c r="F618" s="394">
        <v>0</v>
      </c>
      <c r="G618" s="394">
        <v>0</v>
      </c>
      <c r="H618" s="394">
        <v>0</v>
      </c>
      <c r="I618" s="394">
        <v>0</v>
      </c>
      <c r="J618" s="347"/>
      <c r="K618" s="348"/>
      <c r="O618" s="26">
        <v>10</v>
      </c>
      <c r="P618" s="27" t="s">
        <v>75</v>
      </c>
      <c r="Q618" s="394">
        <v>0</v>
      </c>
      <c r="R618" s="394">
        <v>0</v>
      </c>
      <c r="S618" s="394">
        <v>0</v>
      </c>
      <c r="T618" s="394">
        <v>0</v>
      </c>
      <c r="U618" s="394">
        <v>0</v>
      </c>
      <c r="V618" s="394">
        <v>0</v>
      </c>
      <c r="W618" s="394">
        <v>0</v>
      </c>
      <c r="X618" s="347"/>
      <c r="AC618" s="26">
        <v>10</v>
      </c>
      <c r="AD618" s="27" t="s">
        <v>75</v>
      </c>
      <c r="AE618" s="394" t="s">
        <v>20</v>
      </c>
      <c r="AF618" s="394" t="s">
        <v>20</v>
      </c>
      <c r="AG618" s="394" t="s">
        <v>20</v>
      </c>
      <c r="AH618" s="394" t="s">
        <v>20</v>
      </c>
      <c r="AI618" s="394" t="s">
        <v>20</v>
      </c>
      <c r="AJ618" s="394" t="s">
        <v>20</v>
      </c>
      <c r="AK618" s="394" t="s">
        <v>20</v>
      </c>
      <c r="AL618" s="347"/>
    </row>
    <row r="619" spans="1:38" ht="24.95" customHeight="1">
      <c r="A619" s="26">
        <v>11</v>
      </c>
      <c r="B619" s="35" t="s">
        <v>76</v>
      </c>
      <c r="C619" s="394">
        <v>0</v>
      </c>
      <c r="D619" s="394">
        <v>0</v>
      </c>
      <c r="E619" s="394">
        <v>0</v>
      </c>
      <c r="F619" s="394">
        <v>0</v>
      </c>
      <c r="G619" s="394">
        <v>0</v>
      </c>
      <c r="H619" s="394">
        <v>0</v>
      </c>
      <c r="I619" s="394">
        <v>0</v>
      </c>
      <c r="J619" s="347"/>
      <c r="K619" s="348"/>
      <c r="O619" s="26">
        <v>11</v>
      </c>
      <c r="P619" s="35" t="s">
        <v>76</v>
      </c>
      <c r="Q619" s="394">
        <v>0</v>
      </c>
      <c r="R619" s="394">
        <v>0</v>
      </c>
      <c r="S619" s="394">
        <v>0</v>
      </c>
      <c r="T619" s="394">
        <v>0</v>
      </c>
      <c r="U619" s="394">
        <v>0</v>
      </c>
      <c r="V619" s="394">
        <v>0</v>
      </c>
      <c r="W619" s="394">
        <v>0</v>
      </c>
      <c r="X619" s="347"/>
      <c r="AC619" s="26">
        <v>11</v>
      </c>
      <c r="AD619" s="35" t="s">
        <v>76</v>
      </c>
      <c r="AE619" s="452" t="s">
        <v>20</v>
      </c>
      <c r="AF619" s="452" t="s">
        <v>20</v>
      </c>
      <c r="AG619" s="452" t="s">
        <v>20</v>
      </c>
      <c r="AH619" s="452" t="s">
        <v>20</v>
      </c>
      <c r="AI619" s="453" t="s">
        <v>20</v>
      </c>
      <c r="AJ619" s="452" t="s">
        <v>20</v>
      </c>
      <c r="AK619" s="452" t="s">
        <v>20</v>
      </c>
      <c r="AL619" s="347"/>
    </row>
    <row r="620" spans="1:38" ht="24.95" customHeight="1">
      <c r="A620" s="664" t="s">
        <v>77</v>
      </c>
      <c r="B620" s="665"/>
      <c r="C620" s="393">
        <f>C612</f>
        <v>0</v>
      </c>
      <c r="D620" s="455">
        <f>SUM(D609:D619)</f>
        <v>0</v>
      </c>
      <c r="E620" s="393">
        <f>SUM(E609:E619)</f>
        <v>1</v>
      </c>
      <c r="F620" s="371">
        <f>SUM(F609:F619)</f>
        <v>1</v>
      </c>
      <c r="G620" s="433">
        <f>H620/1000*D620</f>
        <v>0</v>
      </c>
      <c r="H620" s="317">
        <f>H612</f>
        <v>0</v>
      </c>
      <c r="I620" s="382">
        <f>SUM(I609:I619)</f>
        <v>1</v>
      </c>
      <c r="J620" s="399">
        <f>SUM(J609:J619)</f>
        <v>0</v>
      </c>
      <c r="K620" s="400">
        <f>K612</f>
        <v>0</v>
      </c>
      <c r="L620" s="400">
        <f t="shared" ref="L620:N620" si="203">L612</f>
        <v>0</v>
      </c>
      <c r="M620" s="456">
        <f t="shared" si="203"/>
        <v>0</v>
      </c>
      <c r="N620" s="400">
        <f t="shared" si="203"/>
        <v>0</v>
      </c>
      <c r="O620" s="664" t="s">
        <v>77</v>
      </c>
      <c r="P620" s="665"/>
      <c r="Q620" s="393">
        <f>Q612</f>
        <v>0</v>
      </c>
      <c r="R620" s="455">
        <f>SUM(R609:R619)</f>
        <v>0</v>
      </c>
      <c r="S620" s="393">
        <f>SUM(S609:S619)</f>
        <v>1</v>
      </c>
      <c r="T620" s="371">
        <f>SUM(T609:T619)</f>
        <v>1</v>
      </c>
      <c r="U620" s="433">
        <f>V620/1000*R620</f>
        <v>0</v>
      </c>
      <c r="V620" s="317">
        <v>660</v>
      </c>
      <c r="W620" s="382">
        <f>SUM(W609:W619)</f>
        <v>1</v>
      </c>
      <c r="X620" s="399"/>
      <c r="AC620" s="664" t="s">
        <v>77</v>
      </c>
      <c r="AD620" s="665"/>
      <c r="AE620" s="550" t="str">
        <f>AE612</f>
        <v>2</v>
      </c>
      <c r="AF620" s="371">
        <f>SUM(AF609:AF619)</f>
        <v>1</v>
      </c>
      <c r="AG620" s="393">
        <f>SUM(AG609:AG619)</f>
        <v>1.5</v>
      </c>
      <c r="AH620" s="371">
        <f>SUM(AH609:AH619)</f>
        <v>4.5</v>
      </c>
      <c r="AI620" s="371">
        <f>AJ620/1000*AF620</f>
        <v>0.66</v>
      </c>
      <c r="AJ620" s="317">
        <f>AJ612</f>
        <v>660</v>
      </c>
      <c r="AK620" s="382">
        <f>SUM(AK609:AK619)</f>
        <v>13</v>
      </c>
      <c r="AL620" s="399"/>
    </row>
    <row r="621" spans="1:38" ht="24.95" customHeight="1">
      <c r="C621" s="292">
        <f t="shared" ref="C621:I621" si="204">C620-S620</f>
        <v>-1</v>
      </c>
      <c r="D621" s="292">
        <f t="shared" si="204"/>
        <v>-1</v>
      </c>
      <c r="E621" s="292">
        <f t="shared" si="204"/>
        <v>1</v>
      </c>
      <c r="F621" s="292">
        <f t="shared" si="204"/>
        <v>-659</v>
      </c>
      <c r="G621" s="292">
        <f t="shared" si="204"/>
        <v>-1</v>
      </c>
      <c r="H621" s="292">
        <f t="shared" si="204"/>
        <v>0</v>
      </c>
      <c r="I621" s="292">
        <f t="shared" si="204"/>
        <v>1</v>
      </c>
      <c r="Q621" s="292">
        <f>Q620-AE620</f>
        <v>-2</v>
      </c>
      <c r="R621" s="292">
        <f>R620-AF620</f>
        <v>-1</v>
      </c>
      <c r="S621" s="292">
        <f>S620-AG620</f>
        <v>-0.5</v>
      </c>
      <c r="T621" s="292">
        <f t="shared" ref="T621:V621" si="205">T620-AH620</f>
        <v>-3.5</v>
      </c>
      <c r="U621" s="292">
        <f t="shared" si="205"/>
        <v>-0.66</v>
      </c>
      <c r="V621" s="292">
        <f t="shared" si="205"/>
        <v>0</v>
      </c>
      <c r="W621" s="292">
        <f t="shared" ref="W621" si="206">W620-AK620</f>
        <v>-12</v>
      </c>
    </row>
    <row r="622" spans="1:38" ht="24.95" customHeight="1">
      <c r="B622" s="6" t="s">
        <v>12</v>
      </c>
      <c r="C622" s="320" t="s">
        <v>33</v>
      </c>
      <c r="D622" s="2"/>
      <c r="F622" s="118"/>
      <c r="G622" s="1"/>
      <c r="H622" t="e">
        <f>G620/D620*1000</f>
        <v>#DIV/0!</v>
      </c>
      <c r="P622" s="6" t="s">
        <v>12</v>
      </c>
      <c r="Q622" s="320" t="s">
        <v>33</v>
      </c>
      <c r="R622" s="2"/>
      <c r="T622" s="118"/>
      <c r="U622" s="1"/>
      <c r="V622" t="e">
        <f>U620/R620*1000</f>
        <v>#DIV/0!</v>
      </c>
      <c r="AD622" s="385"/>
      <c r="AE622" s="118"/>
      <c r="AF622" s="118"/>
      <c r="AG622" s="118"/>
      <c r="AH622" s="118"/>
      <c r="AI622" s="1" t="s">
        <v>104</v>
      </c>
    </row>
    <row r="623" spans="1:38" ht="24.95" customHeight="1">
      <c r="B623" s="6" t="s">
        <v>13</v>
      </c>
      <c r="C623" s="320" t="s">
        <v>34</v>
      </c>
      <c r="D623" s="2"/>
      <c r="G623" s="650"/>
      <c r="H623" s="637"/>
      <c r="I623" s="637"/>
      <c r="J623" s="637"/>
      <c r="K623" s="48"/>
      <c r="P623" s="6" t="s">
        <v>13</v>
      </c>
      <c r="Q623" s="320" t="s">
        <v>34</v>
      </c>
      <c r="R623" s="2"/>
      <c r="U623" s="650"/>
      <c r="V623" s="637"/>
      <c r="W623" s="637"/>
      <c r="X623" s="637"/>
      <c r="AI623" s="266" t="s">
        <v>105</v>
      </c>
      <c r="AJ623" s="323"/>
      <c r="AK623" s="323"/>
      <c r="AL623" s="323"/>
    </row>
    <row r="624" spans="1:38" ht="24.95" customHeight="1">
      <c r="B624" s="6" t="s">
        <v>14</v>
      </c>
      <c r="C624" s="320" t="s">
        <v>35</v>
      </c>
      <c r="D624" s="2"/>
      <c r="G624" s="1"/>
      <c r="P624" s="6" t="s">
        <v>14</v>
      </c>
      <c r="Q624" s="320" t="s">
        <v>35</v>
      </c>
      <c r="R624" s="2"/>
      <c r="U624" s="1"/>
      <c r="AI624" s="1" t="s">
        <v>106</v>
      </c>
    </row>
    <row r="625" spans="1:38" ht="24.95" customHeight="1">
      <c r="G625" s="650"/>
      <c r="H625" s="650"/>
      <c r="I625" s="650"/>
      <c r="J625" s="650"/>
      <c r="K625" s="47"/>
      <c r="U625" s="650"/>
      <c r="V625" s="650"/>
      <c r="W625" s="650"/>
      <c r="X625" s="650"/>
      <c r="AI625" s="650"/>
      <c r="AJ625" s="650"/>
      <c r="AK625" s="650"/>
      <c r="AL625" s="650"/>
    </row>
    <row r="626" spans="1:38" ht="24.95" customHeight="1">
      <c r="G626" s="48"/>
      <c r="H626" s="48"/>
      <c r="I626" s="48"/>
      <c r="J626" s="48"/>
      <c r="K626" s="48"/>
      <c r="U626" s="48"/>
      <c r="V626" s="48"/>
      <c r="W626" s="48"/>
      <c r="X626" s="48"/>
      <c r="AI626" s="48"/>
      <c r="AJ626" s="48"/>
      <c r="AK626" s="48"/>
      <c r="AL626" s="48"/>
    </row>
    <row r="627" spans="1:38" ht="24.95" customHeight="1">
      <c r="G627" s="48"/>
      <c r="H627" s="48"/>
      <c r="I627" s="48"/>
      <c r="J627" s="48"/>
      <c r="K627" s="48"/>
      <c r="U627" s="48"/>
      <c r="V627" s="48"/>
      <c r="W627" s="48"/>
      <c r="X627" s="48"/>
      <c r="AI627" s="48"/>
      <c r="AJ627" s="48"/>
      <c r="AK627" s="48"/>
      <c r="AL627" s="48"/>
    </row>
    <row r="628" spans="1:38" ht="24.95" customHeight="1">
      <c r="G628" s="48"/>
      <c r="H628" s="48"/>
      <c r="I628" s="48"/>
      <c r="J628" s="48"/>
      <c r="K628" s="48"/>
      <c r="U628" s="48"/>
      <c r="V628" s="48"/>
      <c r="W628" s="48"/>
      <c r="X628" s="48"/>
      <c r="AI628" s="48"/>
      <c r="AJ628" s="48"/>
      <c r="AK628" s="48"/>
      <c r="AL628" s="48"/>
    </row>
    <row r="629" spans="1:38" ht="24.95" customHeight="1">
      <c r="G629" s="48"/>
      <c r="H629" s="48"/>
      <c r="I629" s="48"/>
      <c r="J629" s="48"/>
      <c r="K629" s="48"/>
      <c r="U629" s="48"/>
      <c r="V629" s="48"/>
      <c r="W629" s="48"/>
      <c r="X629" s="48"/>
      <c r="AI629" s="48"/>
      <c r="AJ629" s="48"/>
      <c r="AK629" s="48"/>
      <c r="AL629" s="48"/>
    </row>
    <row r="630" spans="1:38" ht="24.95" customHeight="1">
      <c r="G630" s="48"/>
      <c r="H630" s="48"/>
      <c r="I630" s="48"/>
      <c r="J630" s="48"/>
      <c r="K630" s="48"/>
      <c r="U630" s="48"/>
      <c r="V630" s="48"/>
      <c r="W630" s="48"/>
      <c r="X630" s="48"/>
      <c r="AI630" s="48"/>
      <c r="AJ630" s="48"/>
      <c r="AK630" s="48"/>
      <c r="AL630" s="48"/>
    </row>
    <row r="631" spans="1:38" ht="24.95" customHeight="1">
      <c r="G631" s="48"/>
      <c r="H631" s="48"/>
      <c r="I631" s="48"/>
      <c r="J631" s="48"/>
      <c r="K631" s="48"/>
      <c r="U631" s="48"/>
      <c r="V631" s="48"/>
      <c r="W631" s="48"/>
      <c r="X631" s="48"/>
      <c r="AI631" s="48"/>
      <c r="AJ631" s="48"/>
      <c r="AK631" s="48"/>
      <c r="AL631" s="48"/>
    </row>
    <row r="632" spans="1:38" ht="24.95" customHeight="1">
      <c r="G632" s="48"/>
      <c r="H632" s="48"/>
      <c r="I632" s="48"/>
      <c r="J632" s="48"/>
      <c r="K632" s="48"/>
      <c r="U632" s="48"/>
      <c r="V632" s="48"/>
      <c r="W632" s="48"/>
      <c r="X632" s="48"/>
      <c r="AI632" s="48"/>
      <c r="AJ632" s="48"/>
      <c r="AK632" s="48"/>
      <c r="AL632" s="48"/>
    </row>
    <row r="633" spans="1:38" ht="24.95" customHeight="1">
      <c r="G633" s="48"/>
      <c r="H633" s="48"/>
      <c r="I633" s="48"/>
      <c r="J633" s="48"/>
      <c r="K633" s="48"/>
      <c r="U633" s="48"/>
      <c r="V633" s="48"/>
      <c r="W633" s="48"/>
      <c r="X633" s="48"/>
      <c r="AI633" s="48"/>
      <c r="AJ633" s="48"/>
      <c r="AK633" s="48"/>
      <c r="AL633" s="48"/>
    </row>
    <row r="634" spans="1:38" ht="24.95" customHeight="1">
      <c r="G634" s="48"/>
      <c r="H634" s="48"/>
      <c r="I634" s="48"/>
      <c r="J634" s="48"/>
      <c r="K634" s="48"/>
      <c r="U634" s="48"/>
      <c r="V634" s="48"/>
      <c r="W634" s="48"/>
      <c r="X634" s="48"/>
      <c r="AI634" s="48"/>
      <c r="AJ634" s="48"/>
      <c r="AK634" s="48"/>
      <c r="AL634" s="48"/>
    </row>
    <row r="635" spans="1:38" ht="24.95" customHeight="1"/>
    <row r="636" spans="1:38" ht="24.95" customHeight="1">
      <c r="A636" s="632" t="s">
        <v>59</v>
      </c>
      <c r="B636" s="632"/>
      <c r="C636" s="632"/>
      <c r="D636" s="632"/>
      <c r="E636" s="632"/>
      <c r="F636" s="632"/>
      <c r="G636" s="632"/>
      <c r="H636" s="632"/>
      <c r="I636" s="632"/>
      <c r="J636" s="632"/>
      <c r="K636" s="296"/>
      <c r="O636" s="632" t="s">
        <v>59</v>
      </c>
      <c r="P636" s="632"/>
      <c r="Q636" s="632"/>
      <c r="R636" s="632"/>
      <c r="S636" s="632"/>
      <c r="T636" s="632"/>
      <c r="U636" s="632"/>
      <c r="V636" s="632"/>
      <c r="W636" s="632"/>
      <c r="X636" s="632"/>
      <c r="AC636" s="663" t="s">
        <v>59</v>
      </c>
      <c r="AD636" s="663"/>
      <c r="AE636" s="663"/>
      <c r="AF636" s="663"/>
      <c r="AG636" s="663"/>
      <c r="AH636" s="663"/>
      <c r="AI636" s="663"/>
      <c r="AJ636" s="663"/>
      <c r="AK636" s="663"/>
      <c r="AL636" s="663"/>
    </row>
    <row r="637" spans="1:38" ht="24.95" customHeight="1">
      <c r="A637" s="632" t="s">
        <v>1</v>
      </c>
      <c r="B637" s="632"/>
      <c r="C637" s="632"/>
      <c r="D637" s="632"/>
      <c r="E637" s="632"/>
      <c r="F637" s="632"/>
      <c r="G637" s="632"/>
      <c r="H637" s="632"/>
      <c r="I637" s="632"/>
      <c r="J637" s="632"/>
      <c r="K637" s="296"/>
      <c r="O637" s="632" t="s">
        <v>1</v>
      </c>
      <c r="P637" s="632"/>
      <c r="Q637" s="632"/>
      <c r="R637" s="632"/>
      <c r="S637" s="632"/>
      <c r="T637" s="632"/>
      <c r="U637" s="632"/>
      <c r="V637" s="632"/>
      <c r="W637" s="632"/>
      <c r="X637" s="632"/>
      <c r="AC637" s="663" t="s">
        <v>1</v>
      </c>
      <c r="AD637" s="663"/>
      <c r="AE637" s="663"/>
      <c r="AF637" s="663"/>
      <c r="AG637" s="663"/>
      <c r="AH637" s="663"/>
      <c r="AI637" s="663"/>
      <c r="AJ637" s="663"/>
      <c r="AK637" s="663"/>
      <c r="AL637" s="663"/>
    </row>
    <row r="638" spans="1:38" ht="24.95" customHeight="1">
      <c r="A638" s="632" t="s">
        <v>206</v>
      </c>
      <c r="B638" s="632"/>
      <c r="C638" s="632"/>
      <c r="D638" s="632"/>
      <c r="E638" s="632"/>
      <c r="F638" s="632"/>
      <c r="G638" s="632"/>
      <c r="H638" s="632"/>
      <c r="I638" s="632"/>
      <c r="J638" s="632"/>
      <c r="K638" s="623"/>
      <c r="O638" s="632" t="s">
        <v>60</v>
      </c>
      <c r="P638" s="632"/>
      <c r="Q638" s="632"/>
      <c r="R638" s="632"/>
      <c r="S638" s="632"/>
      <c r="T638" s="632"/>
      <c r="U638" s="632"/>
      <c r="V638" s="632"/>
      <c r="W638" s="632"/>
      <c r="X638" s="632"/>
      <c r="AC638" s="663" t="s">
        <v>107</v>
      </c>
      <c r="AD638" s="663"/>
      <c r="AE638" s="663"/>
      <c r="AF638" s="663"/>
      <c r="AG638" s="663"/>
      <c r="AH638" s="663"/>
      <c r="AI638" s="663"/>
      <c r="AJ638" s="663"/>
      <c r="AK638" s="663"/>
      <c r="AL638" s="663"/>
    </row>
    <row r="639" spans="1:38" ht="24.9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AC639" s="82"/>
      <c r="AD639" s="82"/>
      <c r="AE639" s="82"/>
      <c r="AF639" s="82"/>
      <c r="AG639" s="82"/>
      <c r="AH639" s="82"/>
      <c r="AI639" s="82"/>
      <c r="AJ639" s="82"/>
      <c r="AK639" s="82"/>
      <c r="AL639" s="82"/>
    </row>
    <row r="640" spans="1:38" ht="24.95" customHeight="1">
      <c r="A640" t="s">
        <v>61</v>
      </c>
      <c r="C640" s="1" t="s">
        <v>32</v>
      </c>
      <c r="O640" t="s">
        <v>61</v>
      </c>
      <c r="Q640" s="1" t="s">
        <v>32</v>
      </c>
      <c r="AC640" t="s">
        <v>61</v>
      </c>
      <c r="AE640" s="1" t="s">
        <v>116</v>
      </c>
    </row>
    <row r="641" spans="1:38" ht="24.95" customHeight="1"/>
    <row r="642" spans="1:38" ht="30" customHeight="1">
      <c r="A642" s="297" t="s">
        <v>4</v>
      </c>
      <c r="B642" s="298" t="s">
        <v>63</v>
      </c>
      <c r="C642" s="298" t="s">
        <v>12</v>
      </c>
      <c r="D642" s="298" t="s">
        <v>13</v>
      </c>
      <c r="E642" s="298" t="s">
        <v>14</v>
      </c>
      <c r="F642" s="299" t="s">
        <v>86</v>
      </c>
      <c r="G642" s="299" t="s">
        <v>8</v>
      </c>
      <c r="H642" s="299" t="s">
        <v>9</v>
      </c>
      <c r="I642" s="299" t="s">
        <v>10</v>
      </c>
      <c r="J642" s="330" t="s">
        <v>11</v>
      </c>
      <c r="K642" s="430"/>
      <c r="O642" s="297" t="s">
        <v>4</v>
      </c>
      <c r="P642" s="298" t="s">
        <v>63</v>
      </c>
      <c r="Q642" s="298" t="s">
        <v>12</v>
      </c>
      <c r="R642" s="298" t="s">
        <v>13</v>
      </c>
      <c r="S642" s="298" t="s">
        <v>14</v>
      </c>
      <c r="T642" s="299" t="s">
        <v>86</v>
      </c>
      <c r="U642" s="299" t="s">
        <v>8</v>
      </c>
      <c r="V642" s="299" t="s">
        <v>9</v>
      </c>
      <c r="W642" s="299" t="s">
        <v>10</v>
      </c>
      <c r="X642" s="330" t="s">
        <v>11</v>
      </c>
      <c r="Z642" s="357" t="s">
        <v>103</v>
      </c>
      <c r="AC642" s="297" t="s">
        <v>4</v>
      </c>
      <c r="AD642" s="298" t="s">
        <v>63</v>
      </c>
      <c r="AE642" s="298" t="s">
        <v>12</v>
      </c>
      <c r="AF642" s="298" t="s">
        <v>13</v>
      </c>
      <c r="AG642" s="298" t="s">
        <v>14</v>
      </c>
      <c r="AH642" s="299" t="s">
        <v>86</v>
      </c>
      <c r="AI642" s="299" t="s">
        <v>8</v>
      </c>
      <c r="AJ642" s="299" t="s">
        <v>9</v>
      </c>
      <c r="AK642" s="299" t="s">
        <v>10</v>
      </c>
      <c r="AL642" s="330" t="s">
        <v>11</v>
      </c>
    </row>
    <row r="643" spans="1:38" ht="24.95" customHeight="1">
      <c r="A643" s="300">
        <v>1</v>
      </c>
      <c r="B643" s="301">
        <v>2</v>
      </c>
      <c r="C643" s="301">
        <v>3</v>
      </c>
      <c r="D643" s="301">
        <v>4</v>
      </c>
      <c r="E643" s="301">
        <v>5</v>
      </c>
      <c r="F643" s="301">
        <v>6</v>
      </c>
      <c r="G643" s="301">
        <v>7</v>
      </c>
      <c r="H643" s="301">
        <v>8</v>
      </c>
      <c r="I643" s="301">
        <v>9</v>
      </c>
      <c r="J643" s="333">
        <v>10</v>
      </c>
      <c r="K643" s="334" t="s">
        <v>12</v>
      </c>
      <c r="L643" s="1" t="s">
        <v>13</v>
      </c>
      <c r="M643" s="1" t="s">
        <v>14</v>
      </c>
      <c r="N643" s="1" t="s">
        <v>65</v>
      </c>
      <c r="O643" s="300">
        <v>1</v>
      </c>
      <c r="P643" s="301">
        <v>2</v>
      </c>
      <c r="Q643" s="301">
        <v>3</v>
      </c>
      <c r="R643" s="301">
        <v>4</v>
      </c>
      <c r="S643" s="301">
        <v>5</v>
      </c>
      <c r="T643" s="301">
        <v>6</v>
      </c>
      <c r="U643" s="301">
        <v>7</v>
      </c>
      <c r="V643" s="301">
        <v>8</v>
      </c>
      <c r="W643" s="301">
        <v>9</v>
      </c>
      <c r="X643" s="333">
        <v>10</v>
      </c>
      <c r="Y643" s="1" t="s">
        <v>12</v>
      </c>
      <c r="Z643" s="1" t="s">
        <v>13</v>
      </c>
      <c r="AA643" s="1" t="s">
        <v>14</v>
      </c>
      <c r="AB643" s="403" t="s">
        <v>65</v>
      </c>
      <c r="AC643" s="300">
        <v>1</v>
      </c>
      <c r="AD643" s="301">
        <v>2</v>
      </c>
      <c r="AE643" s="301">
        <v>3</v>
      </c>
      <c r="AF643" s="301">
        <v>4</v>
      </c>
      <c r="AG643" s="301">
        <v>5</v>
      </c>
      <c r="AH643" s="301">
        <v>6</v>
      </c>
      <c r="AI643" s="301">
        <v>7</v>
      </c>
      <c r="AJ643" s="301">
        <v>8</v>
      </c>
      <c r="AK643" s="301">
        <v>9</v>
      </c>
      <c r="AL643" s="333">
        <v>10</v>
      </c>
    </row>
    <row r="644" spans="1:38" ht="24.95" customHeight="1">
      <c r="A644" s="16">
        <v>1</v>
      </c>
      <c r="B644" s="459" t="s">
        <v>82</v>
      </c>
      <c r="C644" s="460">
        <v>0</v>
      </c>
      <c r="D644" s="461">
        <v>0</v>
      </c>
      <c r="E644" s="461">
        <v>0</v>
      </c>
      <c r="F644" s="461">
        <v>0</v>
      </c>
      <c r="G644" s="462">
        <v>0</v>
      </c>
      <c r="H644" s="461">
        <v>0</v>
      </c>
      <c r="I644" s="461">
        <v>0</v>
      </c>
      <c r="J644" s="463">
        <f>F644-V644</f>
        <v>0</v>
      </c>
      <c r="K644" s="464"/>
      <c r="O644" s="16">
        <v>1</v>
      </c>
      <c r="P644" s="459" t="s">
        <v>82</v>
      </c>
      <c r="Q644" s="460">
        <v>0</v>
      </c>
      <c r="R644" s="460">
        <v>0</v>
      </c>
      <c r="S644" s="460">
        <v>0</v>
      </c>
      <c r="T644" s="460">
        <v>0</v>
      </c>
      <c r="U644" s="460">
        <v>0</v>
      </c>
      <c r="V644" s="460">
        <v>0</v>
      </c>
      <c r="W644" s="460">
        <v>0</v>
      </c>
      <c r="X644" s="463">
        <f>T644-AH644</f>
        <v>-3</v>
      </c>
      <c r="Y644" s="273">
        <f>Q644-AE644</f>
        <v>-3</v>
      </c>
      <c r="Z644" s="273">
        <f>3-3</f>
        <v>0</v>
      </c>
      <c r="AA644" s="273">
        <f>S644-AG644</f>
        <v>0</v>
      </c>
      <c r="AB644" s="273">
        <f>W644-AK644</f>
        <v>-15</v>
      </c>
      <c r="AC644" s="16">
        <v>1</v>
      </c>
      <c r="AD644" s="471" t="s">
        <v>82</v>
      </c>
      <c r="AE644" s="460">
        <f>6-3</f>
        <v>3</v>
      </c>
      <c r="AF644" s="461">
        <f>2+3</f>
        <v>5</v>
      </c>
      <c r="AG644" s="461">
        <v>0</v>
      </c>
      <c r="AH644" s="461">
        <f>AE644</f>
        <v>3</v>
      </c>
      <c r="AI644" s="462">
        <f>AJ644*AF644/1000</f>
        <v>0.4</v>
      </c>
      <c r="AJ644" s="461">
        <v>80</v>
      </c>
      <c r="AK644" s="461">
        <v>15</v>
      </c>
      <c r="AL644" s="473" t="s">
        <v>20</v>
      </c>
    </row>
    <row r="645" spans="1:38" ht="24.95" customHeight="1">
      <c r="A645" s="22">
        <v>2</v>
      </c>
      <c r="B645" s="23" t="s">
        <v>67</v>
      </c>
      <c r="C645" s="460">
        <v>0</v>
      </c>
      <c r="D645" s="461">
        <v>0</v>
      </c>
      <c r="E645" s="461">
        <v>0</v>
      </c>
      <c r="F645" s="461">
        <v>0</v>
      </c>
      <c r="G645" s="462">
        <v>0</v>
      </c>
      <c r="H645" s="461">
        <v>0</v>
      </c>
      <c r="I645" s="461">
        <v>0</v>
      </c>
      <c r="J645" s="463" t="s">
        <v>20</v>
      </c>
      <c r="K645" s="464"/>
      <c r="O645" s="22">
        <v>2</v>
      </c>
      <c r="P645" s="23" t="s">
        <v>67</v>
      </c>
      <c r="Q645" s="460">
        <v>0</v>
      </c>
      <c r="R645" s="460">
        <v>0</v>
      </c>
      <c r="S645" s="460">
        <v>0</v>
      </c>
      <c r="T645" s="460">
        <v>0</v>
      </c>
      <c r="U645" s="460">
        <v>0</v>
      </c>
      <c r="V645" s="460">
        <v>0</v>
      </c>
      <c r="W645" s="460">
        <v>0</v>
      </c>
      <c r="X645" s="463" t="s">
        <v>20</v>
      </c>
      <c r="AC645" s="22">
        <v>2</v>
      </c>
      <c r="AD645" s="23" t="s">
        <v>67</v>
      </c>
      <c r="AE645" s="394" t="s">
        <v>20</v>
      </c>
      <c r="AF645" s="394" t="s">
        <v>20</v>
      </c>
      <c r="AG645" s="394" t="s">
        <v>20</v>
      </c>
      <c r="AH645" s="394" t="s">
        <v>20</v>
      </c>
      <c r="AI645" s="394" t="s">
        <v>20</v>
      </c>
      <c r="AJ645" s="394" t="s">
        <v>20</v>
      </c>
      <c r="AK645" s="394" t="s">
        <v>20</v>
      </c>
      <c r="AL645" s="463" t="s">
        <v>20</v>
      </c>
    </row>
    <row r="646" spans="1:38" ht="24.95" customHeight="1">
      <c r="A646" s="26">
        <v>3</v>
      </c>
      <c r="B646" s="27" t="s">
        <v>68</v>
      </c>
      <c r="C646" s="460">
        <v>0</v>
      </c>
      <c r="D646" s="461">
        <v>0</v>
      </c>
      <c r="E646" s="461">
        <v>0</v>
      </c>
      <c r="F646" s="461">
        <v>0</v>
      </c>
      <c r="G646" s="462">
        <v>0</v>
      </c>
      <c r="H646" s="461">
        <v>0</v>
      </c>
      <c r="I646" s="461">
        <v>0</v>
      </c>
      <c r="J646" s="465" t="s">
        <v>20</v>
      </c>
      <c r="K646" s="464"/>
      <c r="O646" s="26">
        <v>3</v>
      </c>
      <c r="P646" s="27" t="s">
        <v>68</v>
      </c>
      <c r="Q646" s="460">
        <v>0</v>
      </c>
      <c r="R646" s="460">
        <v>0</v>
      </c>
      <c r="S646" s="460">
        <v>0</v>
      </c>
      <c r="T646" s="460">
        <v>0</v>
      </c>
      <c r="U646" s="460">
        <v>0</v>
      </c>
      <c r="V646" s="460">
        <v>0</v>
      </c>
      <c r="W646" s="460">
        <v>0</v>
      </c>
      <c r="X646" s="465" t="s">
        <v>20</v>
      </c>
      <c r="AC646" s="26">
        <v>3</v>
      </c>
      <c r="AD646" s="27" t="s">
        <v>68</v>
      </c>
      <c r="AE646" s="394" t="s">
        <v>20</v>
      </c>
      <c r="AF646" s="394" t="s">
        <v>20</v>
      </c>
      <c r="AG646" s="394" t="s">
        <v>20</v>
      </c>
      <c r="AH646" s="394" t="s">
        <v>20</v>
      </c>
      <c r="AI646" s="394" t="s">
        <v>20</v>
      </c>
      <c r="AJ646" s="394" t="s">
        <v>20</v>
      </c>
      <c r="AK646" s="394" t="s">
        <v>20</v>
      </c>
      <c r="AL646" s="465" t="s">
        <v>20</v>
      </c>
    </row>
    <row r="647" spans="1:38" ht="24.95" customHeight="1">
      <c r="A647" s="26">
        <v>4</v>
      </c>
      <c r="B647" s="27" t="s">
        <v>69</v>
      </c>
      <c r="C647" s="460">
        <v>0</v>
      </c>
      <c r="D647" s="461">
        <v>0</v>
      </c>
      <c r="E647" s="461">
        <v>0</v>
      </c>
      <c r="F647" s="461">
        <v>0</v>
      </c>
      <c r="G647" s="462">
        <v>0</v>
      </c>
      <c r="H647" s="461">
        <v>0</v>
      </c>
      <c r="I647" s="461">
        <v>0</v>
      </c>
      <c r="J647" s="463" t="s">
        <v>20</v>
      </c>
      <c r="K647" s="464"/>
      <c r="O647" s="26">
        <v>4</v>
      </c>
      <c r="P647" s="27" t="s">
        <v>69</v>
      </c>
      <c r="Q647" s="460">
        <v>0</v>
      </c>
      <c r="R647" s="460">
        <v>0</v>
      </c>
      <c r="S647" s="460">
        <v>0</v>
      </c>
      <c r="T647" s="460">
        <v>0</v>
      </c>
      <c r="U647" s="460">
        <v>0</v>
      </c>
      <c r="V647" s="460">
        <v>0</v>
      </c>
      <c r="W647" s="460">
        <v>0</v>
      </c>
      <c r="X647" s="463" t="s">
        <v>20</v>
      </c>
      <c r="AC647" s="26">
        <v>4</v>
      </c>
      <c r="AD647" s="27" t="s">
        <v>69</v>
      </c>
      <c r="AE647" s="394" t="s">
        <v>20</v>
      </c>
      <c r="AF647" s="394" t="s">
        <v>20</v>
      </c>
      <c r="AG647" s="394" t="s">
        <v>20</v>
      </c>
      <c r="AH647" s="394" t="s">
        <v>20</v>
      </c>
      <c r="AI647" s="394" t="s">
        <v>20</v>
      </c>
      <c r="AJ647" s="394" t="s">
        <v>20</v>
      </c>
      <c r="AK647" s="394" t="s">
        <v>20</v>
      </c>
      <c r="AL647" s="474" t="s">
        <v>20</v>
      </c>
    </row>
    <row r="648" spans="1:38" ht="24.95" customHeight="1">
      <c r="A648" s="26">
        <v>5</v>
      </c>
      <c r="B648" s="32" t="s">
        <v>70</v>
      </c>
      <c r="C648" s="460">
        <v>3</v>
      </c>
      <c r="D648" s="461">
        <v>0</v>
      </c>
      <c r="E648" s="461">
        <v>0</v>
      </c>
      <c r="F648" s="394">
        <f>C648</f>
        <v>3</v>
      </c>
      <c r="G648" s="462">
        <v>0</v>
      </c>
      <c r="H648" s="461">
        <v>0</v>
      </c>
      <c r="I648" s="394">
        <v>7</v>
      </c>
      <c r="J648" s="463" t="s">
        <v>20</v>
      </c>
      <c r="K648" s="464"/>
      <c r="O648" s="26">
        <v>5</v>
      </c>
      <c r="P648" s="32" t="s">
        <v>70</v>
      </c>
      <c r="Q648" s="394">
        <v>3</v>
      </c>
      <c r="R648" s="460">
        <v>0</v>
      </c>
      <c r="S648" s="460">
        <v>0</v>
      </c>
      <c r="T648" s="394">
        <f>Q648</f>
        <v>3</v>
      </c>
      <c r="U648" s="460">
        <v>0</v>
      </c>
      <c r="V648" s="394">
        <v>0</v>
      </c>
      <c r="W648" s="394">
        <v>7</v>
      </c>
      <c r="X648" s="463" t="s">
        <v>20</v>
      </c>
      <c r="Y648" s="273"/>
      <c r="AC648" s="26">
        <v>5</v>
      </c>
      <c r="AD648" s="32" t="s">
        <v>70</v>
      </c>
      <c r="AE648" s="394">
        <v>3</v>
      </c>
      <c r="AF648" s="394" t="s">
        <v>20</v>
      </c>
      <c r="AG648" s="394" t="s">
        <v>20</v>
      </c>
      <c r="AH648" s="394">
        <f>AE648</f>
        <v>3</v>
      </c>
      <c r="AI648" s="394" t="s">
        <v>20</v>
      </c>
      <c r="AJ648" s="394">
        <v>80</v>
      </c>
      <c r="AK648" s="394">
        <v>7</v>
      </c>
      <c r="AL648" s="474" t="s">
        <v>20</v>
      </c>
    </row>
    <row r="649" spans="1:38" ht="24.95" customHeight="1">
      <c r="A649" s="26">
        <v>6</v>
      </c>
      <c r="B649" s="27" t="s">
        <v>71</v>
      </c>
      <c r="C649" s="460">
        <v>0</v>
      </c>
      <c r="D649" s="461">
        <v>0</v>
      </c>
      <c r="E649" s="461">
        <v>0</v>
      </c>
      <c r="F649" s="394">
        <v>0</v>
      </c>
      <c r="G649" s="462">
        <v>0</v>
      </c>
      <c r="H649" s="461">
        <v>0</v>
      </c>
      <c r="I649" s="394">
        <v>0</v>
      </c>
      <c r="J649" s="463" t="s">
        <v>20</v>
      </c>
      <c r="K649" s="464"/>
      <c r="O649" s="26">
        <v>6</v>
      </c>
      <c r="P649" s="27" t="s">
        <v>71</v>
      </c>
      <c r="Q649" s="460">
        <v>0</v>
      </c>
      <c r="R649" s="460">
        <v>0</v>
      </c>
      <c r="S649" s="460">
        <v>0</v>
      </c>
      <c r="T649" s="460">
        <v>0</v>
      </c>
      <c r="U649" s="460">
        <v>0</v>
      </c>
      <c r="V649" s="394">
        <v>0</v>
      </c>
      <c r="W649" s="460">
        <v>0</v>
      </c>
      <c r="X649" s="463" t="s">
        <v>20</v>
      </c>
      <c r="AC649" s="26">
        <v>6</v>
      </c>
      <c r="AD649" s="27" t="s">
        <v>71</v>
      </c>
      <c r="AE649" s="394" t="s">
        <v>20</v>
      </c>
      <c r="AF649" s="394" t="s">
        <v>20</v>
      </c>
      <c r="AG649" s="394" t="s">
        <v>20</v>
      </c>
      <c r="AH649" s="394" t="s">
        <v>20</v>
      </c>
      <c r="AI649" s="394" t="s">
        <v>20</v>
      </c>
      <c r="AJ649" s="394" t="s">
        <v>20</v>
      </c>
      <c r="AK649" s="394" t="s">
        <v>20</v>
      </c>
      <c r="AL649" s="474" t="s">
        <v>20</v>
      </c>
    </row>
    <row r="650" spans="1:38" ht="24.95" customHeight="1">
      <c r="A650" s="26">
        <v>7</v>
      </c>
      <c r="B650" s="27" t="s">
        <v>72</v>
      </c>
      <c r="C650" s="460">
        <v>0</v>
      </c>
      <c r="D650" s="461">
        <v>0</v>
      </c>
      <c r="E650" s="461">
        <v>0</v>
      </c>
      <c r="F650" s="394">
        <v>0</v>
      </c>
      <c r="G650" s="462">
        <v>0</v>
      </c>
      <c r="H650" s="461">
        <v>0</v>
      </c>
      <c r="I650" s="394">
        <v>0</v>
      </c>
      <c r="J650" s="463" t="s">
        <v>20</v>
      </c>
      <c r="K650" s="464"/>
      <c r="O650" s="26">
        <v>7</v>
      </c>
      <c r="P650" s="27" t="s">
        <v>72</v>
      </c>
      <c r="Q650" s="460">
        <v>0</v>
      </c>
      <c r="R650" s="460">
        <v>0</v>
      </c>
      <c r="S650" s="460">
        <v>0</v>
      </c>
      <c r="T650" s="460">
        <v>0</v>
      </c>
      <c r="U650" s="460">
        <v>0</v>
      </c>
      <c r="V650" s="394">
        <v>0</v>
      </c>
      <c r="W650" s="460">
        <v>0</v>
      </c>
      <c r="X650" s="463" t="s">
        <v>20</v>
      </c>
      <c r="AC650" s="26">
        <v>7</v>
      </c>
      <c r="AD650" s="27" t="s">
        <v>72</v>
      </c>
      <c r="AE650" s="394" t="s">
        <v>20</v>
      </c>
      <c r="AF650" s="394" t="s">
        <v>20</v>
      </c>
      <c r="AG650" s="394" t="s">
        <v>20</v>
      </c>
      <c r="AH650" s="394" t="s">
        <v>20</v>
      </c>
      <c r="AI650" s="394" t="s">
        <v>20</v>
      </c>
      <c r="AJ650" s="394" t="s">
        <v>20</v>
      </c>
      <c r="AK650" s="394" t="s">
        <v>20</v>
      </c>
      <c r="AL650" s="463" t="s">
        <v>20</v>
      </c>
    </row>
    <row r="651" spans="1:38" ht="24.95" customHeight="1">
      <c r="A651" s="26">
        <v>8</v>
      </c>
      <c r="B651" s="27" t="s">
        <v>73</v>
      </c>
      <c r="C651" s="460">
        <v>0</v>
      </c>
      <c r="D651" s="461">
        <v>0</v>
      </c>
      <c r="E651" s="461">
        <v>0</v>
      </c>
      <c r="F651" s="394">
        <v>0</v>
      </c>
      <c r="G651" s="462">
        <v>0</v>
      </c>
      <c r="H651" s="461">
        <v>0</v>
      </c>
      <c r="I651" s="394">
        <v>0</v>
      </c>
      <c r="J651" s="463" t="s">
        <v>20</v>
      </c>
      <c r="K651" s="464"/>
      <c r="O651" s="26">
        <v>8</v>
      </c>
      <c r="P651" s="27" t="s">
        <v>73</v>
      </c>
      <c r="Q651" s="460">
        <v>0</v>
      </c>
      <c r="R651" s="460">
        <v>0</v>
      </c>
      <c r="S651" s="460">
        <v>0</v>
      </c>
      <c r="T651" s="460">
        <v>0</v>
      </c>
      <c r="U651" s="460">
        <v>0</v>
      </c>
      <c r="V651" s="394">
        <v>0</v>
      </c>
      <c r="W651" s="460">
        <v>0</v>
      </c>
      <c r="X651" s="463" t="s">
        <v>20</v>
      </c>
      <c r="AC651" s="26">
        <v>8</v>
      </c>
      <c r="AD651" s="27" t="s">
        <v>73</v>
      </c>
      <c r="AE651" s="394" t="s">
        <v>20</v>
      </c>
      <c r="AF651" s="394" t="s">
        <v>20</v>
      </c>
      <c r="AG651" s="394" t="s">
        <v>20</v>
      </c>
      <c r="AH651" s="394" t="s">
        <v>20</v>
      </c>
      <c r="AI651" s="394" t="s">
        <v>20</v>
      </c>
      <c r="AJ651" s="394" t="s">
        <v>20</v>
      </c>
      <c r="AK651" s="394" t="s">
        <v>20</v>
      </c>
      <c r="AL651" s="463" t="s">
        <v>20</v>
      </c>
    </row>
    <row r="652" spans="1:38" ht="24.95" customHeight="1">
      <c r="A652" s="26">
        <v>9</v>
      </c>
      <c r="B652" s="27" t="s">
        <v>74</v>
      </c>
      <c r="C652" s="460">
        <v>0</v>
      </c>
      <c r="D652" s="461">
        <v>0</v>
      </c>
      <c r="E652" s="461">
        <v>0</v>
      </c>
      <c r="F652" s="394">
        <v>0</v>
      </c>
      <c r="G652" s="462">
        <v>0</v>
      </c>
      <c r="H652" s="461">
        <v>0</v>
      </c>
      <c r="I652" s="394">
        <v>0</v>
      </c>
      <c r="J652" s="463" t="s">
        <v>20</v>
      </c>
      <c r="K652" s="464"/>
      <c r="O652" s="26">
        <v>9</v>
      </c>
      <c r="P652" s="27" t="s">
        <v>74</v>
      </c>
      <c r="Q652" s="460">
        <v>0</v>
      </c>
      <c r="R652" s="460">
        <v>0</v>
      </c>
      <c r="S652" s="460">
        <v>0</v>
      </c>
      <c r="T652" s="460">
        <v>0</v>
      </c>
      <c r="U652" s="460">
        <v>0</v>
      </c>
      <c r="V652" s="394">
        <v>0</v>
      </c>
      <c r="W652" s="460">
        <v>0</v>
      </c>
      <c r="X652" s="463" t="s">
        <v>20</v>
      </c>
      <c r="AC652" s="26">
        <v>9</v>
      </c>
      <c r="AD652" s="27" t="s">
        <v>74</v>
      </c>
      <c r="AE652" s="394" t="s">
        <v>20</v>
      </c>
      <c r="AF652" s="394" t="s">
        <v>20</v>
      </c>
      <c r="AG652" s="394" t="s">
        <v>20</v>
      </c>
      <c r="AH652" s="394" t="s">
        <v>20</v>
      </c>
      <c r="AI652" s="394" t="s">
        <v>20</v>
      </c>
      <c r="AJ652" s="394" t="s">
        <v>20</v>
      </c>
      <c r="AK652" s="394" t="s">
        <v>20</v>
      </c>
      <c r="AL652" s="463" t="s">
        <v>20</v>
      </c>
    </row>
    <row r="653" spans="1:38" ht="24.95" customHeight="1">
      <c r="A653" s="26">
        <v>10</v>
      </c>
      <c r="B653" s="27" t="s">
        <v>75</v>
      </c>
      <c r="C653" s="460">
        <v>0</v>
      </c>
      <c r="D653" s="461">
        <v>0</v>
      </c>
      <c r="E653" s="461">
        <v>0</v>
      </c>
      <c r="F653" s="394">
        <v>0</v>
      </c>
      <c r="G653" s="462">
        <v>0</v>
      </c>
      <c r="H653" s="461">
        <v>0</v>
      </c>
      <c r="I653" s="394">
        <v>0</v>
      </c>
      <c r="J653" s="463" t="s">
        <v>20</v>
      </c>
      <c r="K653" s="464"/>
      <c r="O653" s="26">
        <v>10</v>
      </c>
      <c r="P653" s="27" t="s">
        <v>75</v>
      </c>
      <c r="Q653" s="460">
        <v>0</v>
      </c>
      <c r="R653" s="460">
        <v>0</v>
      </c>
      <c r="S653" s="460">
        <v>0</v>
      </c>
      <c r="T653" s="460">
        <v>0</v>
      </c>
      <c r="U653" s="460">
        <v>0</v>
      </c>
      <c r="V653" s="394">
        <v>0</v>
      </c>
      <c r="W653" s="460">
        <v>0</v>
      </c>
      <c r="X653" s="463" t="s">
        <v>20</v>
      </c>
      <c r="AC653" s="26">
        <v>10</v>
      </c>
      <c r="AD653" s="27" t="s">
        <v>75</v>
      </c>
      <c r="AE653" s="394" t="s">
        <v>20</v>
      </c>
      <c r="AF653" s="394" t="s">
        <v>20</v>
      </c>
      <c r="AG653" s="394" t="s">
        <v>20</v>
      </c>
      <c r="AH653" s="394" t="s">
        <v>20</v>
      </c>
      <c r="AI653" s="394" t="s">
        <v>20</v>
      </c>
      <c r="AJ653" s="394" t="s">
        <v>20</v>
      </c>
      <c r="AK653" s="394" t="s">
        <v>20</v>
      </c>
      <c r="AL653" s="474" t="s">
        <v>20</v>
      </c>
    </row>
    <row r="654" spans="1:38" ht="24.95" customHeight="1">
      <c r="A654" s="26">
        <v>11</v>
      </c>
      <c r="B654" s="35" t="s">
        <v>76</v>
      </c>
      <c r="C654" s="460">
        <v>0</v>
      </c>
      <c r="D654" s="461">
        <v>0</v>
      </c>
      <c r="E654" s="461">
        <v>0</v>
      </c>
      <c r="F654" s="394">
        <v>0</v>
      </c>
      <c r="G654" s="462">
        <v>0</v>
      </c>
      <c r="H654" s="461">
        <v>0</v>
      </c>
      <c r="I654" s="394">
        <v>0</v>
      </c>
      <c r="J654" s="463" t="s">
        <v>20</v>
      </c>
      <c r="K654" s="464"/>
      <c r="O654" s="26">
        <v>11</v>
      </c>
      <c r="P654" s="35" t="s">
        <v>76</v>
      </c>
      <c r="Q654" s="460">
        <v>0</v>
      </c>
      <c r="R654" s="460">
        <v>0</v>
      </c>
      <c r="S654" s="460">
        <v>0</v>
      </c>
      <c r="T654" s="460">
        <v>0</v>
      </c>
      <c r="U654" s="460">
        <v>0</v>
      </c>
      <c r="V654" s="394">
        <v>0</v>
      </c>
      <c r="W654" s="460">
        <v>0</v>
      </c>
      <c r="X654" s="463" t="s">
        <v>20</v>
      </c>
      <c r="AC654" s="26">
        <v>11</v>
      </c>
      <c r="AD654" s="35" t="s">
        <v>76</v>
      </c>
      <c r="AE654" s="394" t="s">
        <v>20</v>
      </c>
      <c r="AF654" s="394" t="s">
        <v>20</v>
      </c>
      <c r="AG654" s="394" t="s">
        <v>20</v>
      </c>
      <c r="AH654" s="394" t="s">
        <v>20</v>
      </c>
      <c r="AI654" s="394" t="s">
        <v>20</v>
      </c>
      <c r="AJ654" s="394" t="s">
        <v>20</v>
      </c>
      <c r="AK654" s="394" t="s">
        <v>20</v>
      </c>
      <c r="AL654" s="474" t="s">
        <v>20</v>
      </c>
    </row>
    <row r="655" spans="1:38" ht="24.95" customHeight="1">
      <c r="A655" s="664" t="s">
        <v>77</v>
      </c>
      <c r="B655" s="665"/>
      <c r="C655" s="384">
        <f>SUM(C644:C654)</f>
        <v>3</v>
      </c>
      <c r="D655" s="317">
        <f>SUM(D644:D654)</f>
        <v>0</v>
      </c>
      <c r="E655" s="384">
        <f>SUM(E644:E654)</f>
        <v>0</v>
      </c>
      <c r="F655" s="317">
        <f>SUM(F644:F654)</f>
        <v>3</v>
      </c>
      <c r="G655" s="371">
        <f t="shared" ref="G655" si="207">H655/1000*D655</f>
        <v>0</v>
      </c>
      <c r="H655" s="317">
        <f>SUM(H644:H654)</f>
        <v>0</v>
      </c>
      <c r="I655" s="382">
        <f>SUM(I644:I654)</f>
        <v>7</v>
      </c>
      <c r="J655" s="383"/>
      <c r="K655" s="380"/>
      <c r="O655" s="664" t="s">
        <v>77</v>
      </c>
      <c r="P655" s="665"/>
      <c r="Q655" s="384">
        <f>SUM(Q644:Q654)</f>
        <v>3</v>
      </c>
      <c r="R655" s="317">
        <f>SUM(R644:R654)</f>
        <v>0</v>
      </c>
      <c r="S655" s="384">
        <f>SUM(S644:S654)</f>
        <v>0</v>
      </c>
      <c r="T655" s="317">
        <f>SUM(T644:T654)</f>
        <v>3</v>
      </c>
      <c r="U655" s="371">
        <f t="shared" ref="U655" si="208">V655/1000*R655</f>
        <v>0</v>
      </c>
      <c r="V655" s="317">
        <v>0</v>
      </c>
      <c r="W655" s="382">
        <f>SUM(W644:W654)</f>
        <v>7</v>
      </c>
      <c r="X655" s="383"/>
      <c r="AC655" s="664" t="s">
        <v>77</v>
      </c>
      <c r="AD655" s="665"/>
      <c r="AE655" s="384">
        <f>SUM(AE644:AE654)</f>
        <v>6</v>
      </c>
      <c r="AF655" s="317">
        <f>SUM(AF644:AF654)</f>
        <v>5</v>
      </c>
      <c r="AG655" s="384">
        <f>SUM(AG644:AG654)</f>
        <v>0</v>
      </c>
      <c r="AH655" s="317">
        <f>SUM(AH644:AH654)</f>
        <v>6</v>
      </c>
      <c r="AI655" s="371">
        <f t="shared" ref="AI655" si="209">AJ655/1000*AF655</f>
        <v>0.4</v>
      </c>
      <c r="AJ655" s="317">
        <v>80</v>
      </c>
      <c r="AK655" s="382">
        <f>SUM(AK644:AK654)</f>
        <v>22</v>
      </c>
      <c r="AL655" s="399"/>
    </row>
    <row r="656" spans="1:38" ht="24.95" customHeight="1">
      <c r="C656" s="273">
        <f t="shared" ref="C656:I656" si="210">C655-S655</f>
        <v>3</v>
      </c>
      <c r="D656" s="273">
        <f t="shared" si="210"/>
        <v>-3</v>
      </c>
      <c r="E656" s="273">
        <f t="shared" si="210"/>
        <v>0</v>
      </c>
      <c r="F656" s="273">
        <f t="shared" si="210"/>
        <v>3</v>
      </c>
      <c r="G656" s="273">
        <f t="shared" si="210"/>
        <v>-7</v>
      </c>
      <c r="H656" s="273">
        <f t="shared" si="210"/>
        <v>0</v>
      </c>
      <c r="I656" s="273">
        <f t="shared" si="210"/>
        <v>7</v>
      </c>
      <c r="Q656" s="273">
        <f t="shared" ref="Q656:W656" si="211">Q655-AE655</f>
        <v>-3</v>
      </c>
      <c r="R656" s="273">
        <f t="shared" si="211"/>
        <v>-5</v>
      </c>
      <c r="S656" s="273">
        <f t="shared" si="211"/>
        <v>0</v>
      </c>
      <c r="T656" s="273">
        <f t="shared" si="211"/>
        <v>-3</v>
      </c>
      <c r="U656" s="273">
        <f t="shared" si="211"/>
        <v>-0.4</v>
      </c>
      <c r="V656" s="273">
        <f t="shared" si="211"/>
        <v>-80</v>
      </c>
      <c r="W656" s="273">
        <f t="shared" si="211"/>
        <v>-15</v>
      </c>
    </row>
    <row r="657" spans="2:38" ht="24.95" customHeight="1">
      <c r="B657" s="6" t="s">
        <v>12</v>
      </c>
      <c r="C657" s="320" t="s">
        <v>33</v>
      </c>
      <c r="F657" s="118"/>
      <c r="G657" s="1"/>
      <c r="P657" s="6" t="s">
        <v>12</v>
      </c>
      <c r="Q657" s="320" t="s">
        <v>33</v>
      </c>
      <c r="T657" s="118"/>
      <c r="U657" s="1"/>
      <c r="AD657" s="385"/>
      <c r="AE657" s="118"/>
      <c r="AF657" s="118"/>
      <c r="AG657" s="118"/>
      <c r="AH657" s="118"/>
      <c r="AI657" s="1" t="s">
        <v>104</v>
      </c>
    </row>
    <row r="658" spans="2:38" ht="24.95" customHeight="1">
      <c r="B658" s="6" t="s">
        <v>13</v>
      </c>
      <c r="C658" s="320" t="s">
        <v>34</v>
      </c>
      <c r="G658" s="650"/>
      <c r="H658" s="637"/>
      <c r="I658" s="637"/>
      <c r="J658" s="637"/>
      <c r="K658" s="48"/>
      <c r="P658" s="6" t="s">
        <v>13</v>
      </c>
      <c r="Q658" s="320" t="s">
        <v>34</v>
      </c>
      <c r="U658" s="650"/>
      <c r="V658" s="637"/>
      <c r="W658" s="637"/>
      <c r="X658" s="637"/>
      <c r="AI658" s="266" t="s">
        <v>105</v>
      </c>
      <c r="AJ658" s="323"/>
      <c r="AK658" s="323"/>
      <c r="AL658" s="323"/>
    </row>
    <row r="659" spans="2:38" ht="24.95" customHeight="1">
      <c r="B659" s="6" t="s">
        <v>14</v>
      </c>
      <c r="C659" s="320" t="s">
        <v>35</v>
      </c>
      <c r="G659" s="1"/>
      <c r="P659" s="6" t="s">
        <v>14</v>
      </c>
      <c r="Q659" s="320" t="s">
        <v>35</v>
      </c>
      <c r="U659" s="1"/>
      <c r="AI659" s="1" t="s">
        <v>106</v>
      </c>
    </row>
    <row r="660" spans="2:38">
      <c r="U660" s="650"/>
      <c r="V660" s="650"/>
      <c r="W660" s="650"/>
      <c r="X660" s="650"/>
      <c r="AI660" s="650"/>
      <c r="AJ660" s="650"/>
      <c r="AK660" s="650"/>
      <c r="AL660" s="650"/>
    </row>
    <row r="661" spans="2:38">
      <c r="U661" s="48"/>
      <c r="V661" s="48"/>
      <c r="W661" s="48"/>
      <c r="X661" s="48"/>
      <c r="AI661" s="48"/>
      <c r="AJ661" s="48"/>
      <c r="AK661" s="48"/>
      <c r="AL661" s="48"/>
    </row>
    <row r="662" spans="2:38">
      <c r="U662" s="637"/>
      <c r="V662" s="637"/>
      <c r="W662" s="637"/>
      <c r="X662" s="637"/>
      <c r="AI662" s="637"/>
      <c r="AJ662" s="637"/>
      <c r="AK662" s="637"/>
      <c r="AL662" s="637"/>
    </row>
    <row r="678" spans="15:38" ht="24.95" customHeight="1"/>
    <row r="679" spans="15:38" ht="24.95" customHeight="1"/>
    <row r="680" spans="15:38" ht="24.95" customHeight="1"/>
    <row r="681" spans="15:38" ht="24.95" customHeight="1"/>
    <row r="682" spans="15:38" ht="24.95" customHeight="1"/>
    <row r="683" spans="15:38" ht="24.95" customHeight="1"/>
    <row r="684" spans="15:38" ht="24.95" customHeight="1"/>
    <row r="685" spans="15:38" ht="24.95" customHeight="1">
      <c r="U685" s="48"/>
      <c r="V685" s="48"/>
      <c r="W685" s="48"/>
      <c r="X685" s="48"/>
      <c r="AI685" s="48"/>
      <c r="AJ685" s="48"/>
      <c r="AK685" s="48"/>
      <c r="AL685" s="48"/>
    </row>
    <row r="686" spans="15:38" ht="24.95" customHeight="1">
      <c r="O686" s="663"/>
      <c r="P686" s="663"/>
      <c r="Q686" s="663"/>
      <c r="R686" s="663"/>
      <c r="S686" s="663"/>
      <c r="T686" s="663"/>
      <c r="U686" s="663"/>
      <c r="V686" s="663"/>
      <c r="W686" s="663"/>
      <c r="X686" s="663"/>
      <c r="AC686" s="663"/>
      <c r="AD686" s="663"/>
      <c r="AE686" s="663"/>
      <c r="AF686" s="663"/>
      <c r="AG686" s="663"/>
      <c r="AH686" s="663"/>
      <c r="AI686" s="663"/>
      <c r="AJ686" s="663"/>
      <c r="AK686" s="663"/>
      <c r="AL686" s="663"/>
    </row>
    <row r="687" spans="15:38" ht="24.95" customHeight="1">
      <c r="O687" s="663"/>
      <c r="P687" s="663"/>
      <c r="Q687" s="663"/>
      <c r="R687" s="663"/>
      <c r="S687" s="663"/>
      <c r="T687" s="663"/>
      <c r="U687" s="663"/>
      <c r="V687" s="663"/>
      <c r="W687" s="663"/>
      <c r="X687" s="663"/>
      <c r="AC687" s="663"/>
      <c r="AD687" s="663"/>
      <c r="AE687" s="663"/>
      <c r="AF687" s="663"/>
      <c r="AG687" s="663"/>
      <c r="AH687" s="663"/>
      <c r="AI687" s="663"/>
      <c r="AJ687" s="663"/>
      <c r="AK687" s="663"/>
      <c r="AL687" s="663"/>
    </row>
    <row r="688" spans="15:38" ht="24.95" customHeight="1">
      <c r="O688" s="663"/>
      <c r="P688" s="663"/>
      <c r="Q688" s="663"/>
      <c r="R688" s="663"/>
      <c r="S688" s="663"/>
      <c r="T688" s="663"/>
      <c r="U688" s="663"/>
      <c r="V688" s="663"/>
      <c r="W688" s="663"/>
      <c r="X688" s="663"/>
      <c r="AC688" s="663"/>
      <c r="AD688" s="663"/>
      <c r="AE688" s="663"/>
      <c r="AF688" s="663"/>
      <c r="AG688" s="663"/>
      <c r="AH688" s="663"/>
      <c r="AI688" s="663"/>
      <c r="AJ688" s="663"/>
      <c r="AK688" s="663"/>
      <c r="AL688" s="663"/>
    </row>
    <row r="689" spans="15:38" ht="24.95" customHeight="1"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AC689" s="82"/>
      <c r="AD689" s="82"/>
      <c r="AE689" s="82"/>
      <c r="AF689" s="82"/>
      <c r="AG689" s="82"/>
      <c r="AH689" s="82"/>
      <c r="AI689" s="82"/>
      <c r="AJ689" s="82"/>
      <c r="AK689" s="82"/>
      <c r="AL689" s="82"/>
    </row>
    <row r="690" spans="15:38" ht="24.95" customHeight="1"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AC690" s="82"/>
      <c r="AD690" s="82"/>
      <c r="AE690" s="82"/>
      <c r="AF690" s="82"/>
      <c r="AG690" s="82"/>
      <c r="AH690" s="82"/>
      <c r="AI690" s="82"/>
      <c r="AJ690" s="82"/>
      <c r="AK690" s="82"/>
      <c r="AL690" s="82"/>
    </row>
    <row r="691" spans="15:38" ht="15" customHeight="1"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AC691" s="82"/>
      <c r="AD691" s="82"/>
      <c r="AE691" s="82"/>
      <c r="AF691" s="82"/>
      <c r="AG691" s="82"/>
      <c r="AH691" s="82"/>
      <c r="AI691" s="82"/>
      <c r="AJ691" s="82"/>
      <c r="AK691" s="82"/>
      <c r="AL691" s="82"/>
    </row>
    <row r="692" spans="15:38" ht="15" customHeight="1"/>
    <row r="694" spans="15:38">
      <c r="O694" s="1"/>
      <c r="S694" s="1"/>
      <c r="AC694" s="1"/>
      <c r="AG694" s="1"/>
    </row>
    <row r="696" spans="15:38">
      <c r="O696" s="297"/>
      <c r="P696" s="298"/>
      <c r="Q696" s="298"/>
      <c r="R696" s="298"/>
      <c r="S696" s="298"/>
      <c r="T696" s="299"/>
      <c r="U696" s="299"/>
      <c r="V696" s="299"/>
      <c r="W696" s="299"/>
      <c r="X696" s="330"/>
      <c r="Z696" s="472"/>
      <c r="AC696" s="297"/>
      <c r="AD696" s="298"/>
      <c r="AE696" s="298"/>
      <c r="AF696" s="298"/>
      <c r="AG696" s="298"/>
      <c r="AH696" s="299"/>
      <c r="AI696" s="299"/>
      <c r="AJ696" s="299"/>
      <c r="AK696" s="299"/>
      <c r="AL696" s="330"/>
    </row>
    <row r="697" spans="15:38" ht="15">
      <c r="O697" s="300"/>
      <c r="P697" s="301"/>
      <c r="Q697" s="301"/>
      <c r="R697" s="301"/>
      <c r="S697" s="301"/>
      <c r="T697" s="301"/>
      <c r="U697" s="301"/>
      <c r="V697" s="301"/>
      <c r="W697" s="301"/>
      <c r="X697" s="333"/>
      <c r="AC697" s="300"/>
      <c r="AD697" s="301"/>
      <c r="AE697" s="301"/>
      <c r="AF697" s="301"/>
      <c r="AG697" s="301"/>
      <c r="AH697" s="301"/>
      <c r="AI697" s="301"/>
      <c r="AJ697" s="301"/>
      <c r="AK697" s="301"/>
      <c r="AL697" s="333"/>
    </row>
    <row r="698" spans="15:38">
      <c r="O698" s="16"/>
      <c r="P698" s="17"/>
      <c r="Q698" s="452"/>
      <c r="R698" s="466"/>
      <c r="S698" s="466"/>
      <c r="T698" s="466"/>
      <c r="U698" s="467"/>
      <c r="V698" s="466"/>
      <c r="W698" s="466"/>
      <c r="X698" s="347"/>
      <c r="AC698" s="16"/>
      <c r="AD698" s="17"/>
      <c r="AE698" s="452"/>
      <c r="AF698" s="466"/>
      <c r="AG698" s="466"/>
      <c r="AH698" s="466"/>
      <c r="AI698" s="467"/>
      <c r="AJ698" s="466"/>
      <c r="AK698" s="466"/>
      <c r="AL698" s="347"/>
    </row>
    <row r="699" spans="15:38">
      <c r="O699" s="22"/>
      <c r="P699" s="23"/>
      <c r="Q699" s="466"/>
      <c r="R699" s="468"/>
      <c r="S699" s="466"/>
      <c r="T699" s="468"/>
      <c r="U699" s="467"/>
      <c r="V699" s="466"/>
      <c r="W699" s="468"/>
      <c r="X699" s="398"/>
      <c r="AC699" s="22"/>
      <c r="AD699" s="23"/>
      <c r="AE699" s="466"/>
      <c r="AF699" s="468"/>
      <c r="AG699" s="466"/>
      <c r="AH699" s="468"/>
      <c r="AI699" s="467"/>
      <c r="AJ699" s="466"/>
      <c r="AK699" s="468"/>
      <c r="AL699" s="398"/>
    </row>
    <row r="700" spans="15:38">
      <c r="O700" s="26"/>
      <c r="P700" s="27"/>
      <c r="Q700" s="452"/>
      <c r="R700" s="466"/>
      <c r="S700" s="452"/>
      <c r="T700" s="466"/>
      <c r="U700" s="467"/>
      <c r="V700" s="466"/>
      <c r="W700" s="466"/>
      <c r="X700" s="420"/>
      <c r="AC700" s="26"/>
      <c r="AD700" s="27"/>
      <c r="AE700" s="452"/>
      <c r="AF700" s="466"/>
      <c r="AG700" s="452"/>
      <c r="AH700" s="466"/>
      <c r="AI700" s="467"/>
      <c r="AJ700" s="466"/>
      <c r="AK700" s="466"/>
      <c r="AL700" s="420"/>
    </row>
    <row r="701" spans="15:38">
      <c r="O701" s="26"/>
      <c r="P701" s="27"/>
      <c r="Q701" s="469"/>
      <c r="R701" s="468"/>
      <c r="S701" s="466"/>
      <c r="T701" s="468"/>
      <c r="U701" s="470"/>
      <c r="V701" s="452"/>
      <c r="W701" s="468"/>
      <c r="X701" s="347"/>
      <c r="AC701" s="26"/>
      <c r="AD701" s="27"/>
      <c r="AE701" s="469"/>
      <c r="AF701" s="468"/>
      <c r="AG701" s="466"/>
      <c r="AH701" s="468"/>
      <c r="AI701" s="470"/>
      <c r="AJ701" s="452"/>
      <c r="AK701" s="468"/>
      <c r="AL701" s="347"/>
    </row>
    <row r="702" spans="15:38">
      <c r="O702" s="26"/>
      <c r="P702" s="32"/>
      <c r="Q702" s="469"/>
      <c r="R702" s="468"/>
      <c r="S702" s="452"/>
      <c r="T702" s="468"/>
      <c r="U702" s="467"/>
      <c r="V702" s="466"/>
      <c r="W702" s="468"/>
      <c r="X702" s="347"/>
      <c r="AC702" s="26"/>
      <c r="AD702" s="32"/>
      <c r="AE702" s="469"/>
      <c r="AF702" s="468"/>
      <c r="AG702" s="466"/>
      <c r="AH702" s="468"/>
      <c r="AI702" s="467"/>
      <c r="AJ702" s="466"/>
      <c r="AK702" s="468"/>
      <c r="AL702" s="347"/>
    </row>
    <row r="703" spans="15:38">
      <c r="O703" s="26"/>
      <c r="P703" s="27"/>
      <c r="Q703" s="466"/>
      <c r="R703" s="466"/>
      <c r="S703" s="466"/>
      <c r="T703" s="466"/>
      <c r="U703" s="467"/>
      <c r="V703" s="466"/>
      <c r="W703" s="466"/>
      <c r="X703" s="347"/>
      <c r="AC703" s="26"/>
      <c r="AD703" s="27"/>
      <c r="AE703" s="466"/>
      <c r="AF703" s="466"/>
      <c r="AG703" s="466"/>
      <c r="AH703" s="466"/>
      <c r="AI703" s="467"/>
      <c r="AJ703" s="466"/>
      <c r="AK703" s="466"/>
      <c r="AL703" s="347"/>
    </row>
    <row r="704" spans="15:38">
      <c r="O704" s="26"/>
      <c r="P704" s="27"/>
      <c r="Q704" s="466"/>
      <c r="R704" s="466"/>
      <c r="S704" s="466"/>
      <c r="T704" s="466"/>
      <c r="U704" s="467"/>
      <c r="V704" s="466"/>
      <c r="W704" s="466"/>
      <c r="X704" s="398"/>
      <c r="AC704" s="26"/>
      <c r="AD704" s="27"/>
      <c r="AE704" s="466"/>
      <c r="AF704" s="466"/>
      <c r="AG704" s="466"/>
      <c r="AH704" s="466"/>
      <c r="AI704" s="467"/>
      <c r="AJ704" s="466"/>
      <c r="AK704" s="466"/>
      <c r="AL704" s="398"/>
    </row>
    <row r="705" spans="15:38">
      <c r="O705" s="26"/>
      <c r="P705" s="27"/>
      <c r="Q705" s="466"/>
      <c r="R705" s="466"/>
      <c r="S705" s="466"/>
      <c r="T705" s="466"/>
      <c r="U705" s="467"/>
      <c r="V705" s="466"/>
      <c r="W705" s="466"/>
      <c r="X705" s="398"/>
      <c r="AC705" s="26"/>
      <c r="AD705" s="27"/>
      <c r="AE705" s="466"/>
      <c r="AF705" s="466"/>
      <c r="AG705" s="466"/>
      <c r="AH705" s="466"/>
      <c r="AI705" s="467"/>
      <c r="AJ705" s="466"/>
      <c r="AK705" s="466"/>
      <c r="AL705" s="398"/>
    </row>
    <row r="706" spans="15:38">
      <c r="O706" s="26"/>
      <c r="P706" s="27"/>
      <c r="Q706" s="452"/>
      <c r="R706" s="452"/>
      <c r="S706" s="452"/>
      <c r="T706" s="452"/>
      <c r="U706" s="470"/>
      <c r="V706" s="452"/>
      <c r="W706" s="452"/>
      <c r="X706" s="398"/>
      <c r="AC706" s="26"/>
      <c r="AD706" s="27"/>
      <c r="AE706" s="452"/>
      <c r="AF706" s="452"/>
      <c r="AG706" s="452"/>
      <c r="AH706" s="452"/>
      <c r="AI706" s="470"/>
      <c r="AJ706" s="452"/>
      <c r="AK706" s="452"/>
      <c r="AL706" s="398"/>
    </row>
    <row r="707" spans="15:38">
      <c r="O707" s="26"/>
      <c r="P707" s="27"/>
      <c r="Q707" s="452"/>
      <c r="R707" s="452"/>
      <c r="S707" s="452"/>
      <c r="T707" s="452"/>
      <c r="U707" s="470"/>
      <c r="V707" s="452"/>
      <c r="W707" s="452"/>
      <c r="X707" s="347"/>
      <c r="AC707" s="26"/>
      <c r="AD707" s="27"/>
      <c r="AE707" s="452"/>
      <c r="AF707" s="452"/>
      <c r="AG707" s="452"/>
      <c r="AH707" s="452"/>
      <c r="AI707" s="470"/>
      <c r="AJ707" s="452"/>
      <c r="AK707" s="452"/>
      <c r="AL707" s="347"/>
    </row>
    <row r="708" spans="15:38">
      <c r="O708" s="26"/>
      <c r="P708" s="35"/>
      <c r="Q708" s="452"/>
      <c r="R708" s="452"/>
      <c r="S708" s="452"/>
      <c r="T708" s="452"/>
      <c r="U708" s="470"/>
      <c r="V708" s="452"/>
      <c r="W708" s="452"/>
      <c r="X708" s="347"/>
      <c r="AC708" s="26"/>
      <c r="AD708" s="35"/>
      <c r="AE708" s="452"/>
      <c r="AF708" s="452"/>
      <c r="AG708" s="452"/>
      <c r="AH708" s="452"/>
      <c r="AI708" s="470"/>
      <c r="AJ708" s="452"/>
      <c r="AK708" s="452"/>
      <c r="AL708" s="347"/>
    </row>
    <row r="709" spans="15:38">
      <c r="O709" s="664"/>
      <c r="P709" s="665"/>
      <c r="Q709" s="39"/>
      <c r="R709" s="475"/>
      <c r="S709" s="39"/>
      <c r="T709" s="475"/>
      <c r="U709" s="448"/>
      <c r="V709" s="37"/>
      <c r="W709" s="476"/>
      <c r="X709" s="399"/>
      <c r="AC709" s="664"/>
      <c r="AD709" s="665"/>
      <c r="AE709" s="39"/>
      <c r="AF709" s="475"/>
      <c r="AG709" s="39"/>
      <c r="AH709" s="475"/>
      <c r="AI709" s="448"/>
      <c r="AJ709" s="37"/>
      <c r="AK709" s="476"/>
      <c r="AL709" s="399"/>
    </row>
    <row r="711" spans="15:38">
      <c r="P711" s="1"/>
      <c r="Q711" s="434"/>
      <c r="T711" s="118"/>
      <c r="U711" s="1"/>
      <c r="AD711" s="385"/>
      <c r="AE711" s="118"/>
      <c r="AF711" s="118"/>
      <c r="AG711" s="118"/>
      <c r="AH711" s="118"/>
      <c r="AI711" s="1"/>
    </row>
    <row r="712" spans="15:38">
      <c r="P712" s="1"/>
      <c r="Q712" s="434"/>
      <c r="U712" s="650"/>
      <c r="V712" s="637"/>
      <c r="W712" s="637"/>
      <c r="X712" s="637"/>
      <c r="AI712" s="650"/>
      <c r="AJ712" s="637"/>
      <c r="AK712" s="637"/>
      <c r="AL712" s="637"/>
    </row>
    <row r="713" spans="15:38">
      <c r="P713" s="1"/>
      <c r="Q713" s="434"/>
      <c r="U713" s="1"/>
      <c r="AI713" s="1"/>
    </row>
    <row r="714" spans="15:38">
      <c r="U714" s="650"/>
      <c r="V714" s="650"/>
      <c r="W714" s="650"/>
      <c r="X714" s="650"/>
      <c r="AI714" s="650"/>
      <c r="AJ714" s="650"/>
      <c r="AK714" s="650"/>
      <c r="AL714" s="650"/>
    </row>
    <row r="715" spans="15:38">
      <c r="U715" s="48"/>
      <c r="V715" s="48"/>
      <c r="W715" s="48"/>
      <c r="X715" s="48"/>
      <c r="AI715" s="48"/>
      <c r="AJ715" s="48"/>
      <c r="AK715" s="48"/>
      <c r="AL715" s="48"/>
    </row>
    <row r="716" spans="15:38">
      <c r="U716" s="637"/>
      <c r="V716" s="637"/>
      <c r="W716" s="637"/>
      <c r="X716" s="637"/>
      <c r="AI716" s="637"/>
      <c r="AJ716" s="637"/>
      <c r="AK716" s="637"/>
      <c r="AL716" s="637"/>
    </row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86" ht="24.95" customHeight="1"/>
    <row r="787" ht="24.95" customHeight="1"/>
    <row r="788" ht="24.95" customHeight="1"/>
    <row r="789" ht="24.95" customHeight="1"/>
    <row r="790" ht="24.95" customHeight="1"/>
    <row r="791" ht="24.95" customHeight="1"/>
    <row r="792" ht="24.95" customHeight="1"/>
    <row r="793" ht="24.95" customHeight="1"/>
    <row r="794" ht="24.95" customHeight="1"/>
    <row r="795" ht="24.95" customHeight="1"/>
    <row r="796" ht="24.95" customHeight="1"/>
    <row r="797" ht="24.95" customHeight="1"/>
    <row r="798" ht="24.95" customHeight="1"/>
    <row r="799" ht="24.95" customHeight="1"/>
    <row r="800" ht="24.95" customHeight="1"/>
    <row r="801" ht="24.95" customHeight="1"/>
    <row r="802" ht="24.95" customHeight="1"/>
    <row r="837" ht="24.95" customHeight="1"/>
    <row r="838" ht="24.95" customHeight="1"/>
    <row r="839" ht="24.95" customHeight="1"/>
    <row r="840" ht="24.95" customHeight="1"/>
    <row r="841" ht="24.95" customHeight="1"/>
    <row r="842" ht="24.95" customHeight="1"/>
    <row r="843" ht="24.95" customHeight="1"/>
    <row r="844" ht="24.95" customHeight="1"/>
    <row r="845" ht="24.95" customHeight="1"/>
    <row r="846" ht="24.95" customHeight="1"/>
    <row r="847" ht="24.95" customHeight="1"/>
    <row r="848" ht="24.95" customHeight="1"/>
    <row r="849" ht="24.95" customHeight="1"/>
    <row r="850" ht="24.95" customHeight="1"/>
    <row r="851" ht="24.95" customHeight="1"/>
    <row r="852" ht="24.95" customHeight="1"/>
    <row r="889" ht="24.95" customHeight="1"/>
    <row r="890" ht="24.95" customHeight="1"/>
    <row r="891" ht="24.95" customHeight="1"/>
    <row r="892" ht="24.95" customHeight="1"/>
    <row r="893" ht="24.95" customHeight="1"/>
    <row r="894" ht="24.95" customHeight="1"/>
    <row r="895" ht="24.95" customHeight="1"/>
    <row r="896" ht="24.95" customHeight="1"/>
    <row r="897" ht="24.95" customHeight="1"/>
    <row r="898" ht="24.95" customHeight="1"/>
    <row r="899" ht="24.95" customHeight="1"/>
    <row r="900" ht="24.95" customHeight="1"/>
    <row r="901" ht="24.95" customHeight="1"/>
    <row r="902" ht="15" customHeight="1"/>
    <row r="903" ht="15" customHeight="1"/>
    <row r="904" ht="15" customHeight="1"/>
    <row r="944" ht="24.95" customHeight="1"/>
    <row r="945" ht="24.95" customHeight="1"/>
    <row r="946" ht="24.95" customHeight="1"/>
    <row r="947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15" customHeight="1"/>
    <row r="958" ht="15" customHeight="1"/>
    <row r="959" ht="15" customHeight="1"/>
    <row r="960" ht="15" customHeight="1"/>
    <row r="961" ht="15" customHeight="1"/>
    <row r="998" ht="24.95" customHeight="1"/>
    <row r="999" ht="24.95" customHeight="1"/>
    <row r="1000" ht="24.95" customHeight="1"/>
    <row r="1001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15" customHeight="1"/>
    <row r="1012" ht="15" customHeight="1"/>
    <row r="1013" ht="15" customHeight="1"/>
    <row r="1014" ht="15" customHeight="1"/>
    <row r="1015" ht="15" customHeight="1"/>
    <row r="1052" ht="24.95" customHeight="1"/>
    <row r="1053" ht="24.95" customHeight="1"/>
    <row r="1054" ht="24.95" customHeight="1"/>
    <row r="1055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15" customHeight="1"/>
    <row r="1066" ht="15" customHeight="1"/>
    <row r="1067" ht="15" customHeight="1"/>
    <row r="1068" ht="15" customHeight="1"/>
    <row r="1069" ht="24.95" customHeight="1"/>
    <row r="1105" ht="24.95" customHeight="1"/>
    <row r="1106" ht="24.95" customHeight="1"/>
    <row r="1107" ht="24.95" customHeight="1"/>
    <row r="1108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67" ht="24.95" customHeight="1"/>
    <row r="1168" ht="24.95" customHeight="1"/>
    <row r="1169" ht="24.95" customHeight="1"/>
    <row r="1170" ht="24.95" customHeight="1"/>
    <row r="1171" ht="24.95" customHeight="1"/>
    <row r="1172" ht="24.95" customHeight="1"/>
    <row r="1173" ht="24.95" customHeight="1"/>
    <row r="1174" ht="24.95" customHeight="1"/>
    <row r="1175" ht="24.95" customHeight="1"/>
    <row r="1176" ht="24.95" customHeight="1"/>
    <row r="1177" ht="24.95" customHeight="1"/>
    <row r="1178" ht="24.95" customHeight="1"/>
    <row r="1179" ht="24.95" customHeight="1"/>
    <row r="1225" ht="24.95" customHeight="1"/>
    <row r="1226" ht="24.95" customHeight="1"/>
    <row r="1227" ht="24.95" customHeight="1"/>
    <row r="1228" ht="24.95" customHeight="1"/>
    <row r="1229" ht="24.95" customHeight="1"/>
    <row r="1230" ht="24.95" customHeight="1"/>
    <row r="1231" ht="24.95" customHeight="1"/>
    <row r="1232" ht="24.95" customHeight="1"/>
    <row r="1233" ht="24.95" customHeight="1"/>
    <row r="1234" ht="24.95" customHeight="1"/>
    <row r="1235" ht="24.95" customHeight="1"/>
    <row r="1236" ht="24.95" customHeight="1"/>
    <row r="1237" ht="24.95" customHeight="1"/>
    <row r="1281" ht="24.95" customHeight="1"/>
    <row r="1282" ht="24.95" customHeight="1"/>
    <row r="1283" ht="24.95" customHeight="1"/>
    <row r="1284" ht="24.95" customHeight="1"/>
    <row r="1285" ht="24.95" customHeight="1"/>
    <row r="1286" ht="24.95" customHeight="1"/>
    <row r="1287" ht="24.95" customHeight="1"/>
    <row r="1288" ht="24.95" customHeight="1"/>
    <row r="1289" ht="24.95" customHeight="1"/>
    <row r="1290" ht="24.95" customHeight="1"/>
    <row r="1291" ht="24.95" customHeight="1"/>
    <row r="1292" ht="24.95" customHeight="1"/>
    <row r="1293" ht="24.95" customHeight="1"/>
    <row r="1337" ht="24.95" customHeight="1"/>
    <row r="1338" ht="24.95" customHeight="1"/>
    <row r="1339" ht="24.95" customHeight="1"/>
    <row r="1340" ht="24.95" customHeight="1"/>
    <row r="1341" ht="24.95" customHeight="1"/>
    <row r="1342" ht="24.95" customHeight="1"/>
    <row r="1343" ht="24.95" customHeight="1"/>
    <row r="1344" ht="24.95" customHeight="1"/>
    <row r="1345" ht="24.95" customHeight="1"/>
    <row r="1346" ht="24.95" customHeight="1"/>
    <row r="1347" ht="24.95" customHeight="1"/>
    <row r="1348" ht="24.95" customHeight="1"/>
    <row r="1349" ht="24.95" customHeight="1"/>
    <row r="1393" ht="24.95" customHeight="1"/>
    <row r="1394" ht="24.95" customHeight="1"/>
    <row r="1395" ht="24.95" customHeight="1"/>
    <row r="1396" ht="24.95" customHeight="1"/>
    <row r="1397" ht="24.95" customHeight="1"/>
    <row r="1398" ht="24.95" customHeight="1"/>
    <row r="1399" ht="24.95" customHeight="1"/>
    <row r="1400" ht="24.95" customHeight="1"/>
    <row r="1401" ht="24.95" customHeight="1"/>
    <row r="1402" ht="24.95" customHeight="1"/>
    <row r="1403" ht="24.95" customHeight="1"/>
    <row r="1404" ht="24.95" customHeight="1"/>
    <row r="1405" ht="24.95" customHeight="1"/>
    <row r="1449" ht="24.95" customHeight="1"/>
    <row r="1450" ht="24.95" customHeight="1"/>
    <row r="1451" ht="24.95" customHeight="1"/>
    <row r="1452" ht="24.95" customHeight="1"/>
    <row r="1453" ht="24.95" customHeight="1"/>
    <row r="1454" ht="24.95" customHeight="1"/>
    <row r="1455" ht="24.95" customHeight="1"/>
    <row r="1456" ht="24.95" customHeight="1"/>
    <row r="1457" ht="24.95" customHeight="1"/>
    <row r="1458" ht="24.95" customHeight="1"/>
    <row r="1459" ht="24.95" customHeight="1"/>
    <row r="1460" ht="24.95" customHeight="1"/>
    <row r="1461" ht="24.95" customHeight="1"/>
    <row r="1506" ht="24.95" customHeight="1"/>
    <row r="1507" ht="24.95" customHeight="1"/>
    <row r="1508" ht="24.95" customHeight="1"/>
    <row r="1509" ht="24.95" customHeight="1"/>
    <row r="1510" ht="24.95" customHeight="1"/>
    <row r="1511" ht="24.95" customHeight="1"/>
    <row r="1512" ht="24.95" customHeight="1"/>
    <row r="1513" ht="24.95" customHeight="1"/>
    <row r="1514" ht="24.95" customHeight="1"/>
    <row r="1515" ht="24.95" customHeight="1"/>
    <row r="1516" ht="24.95" customHeight="1"/>
    <row r="1517" ht="24.95" customHeight="1"/>
    <row r="1518" ht="24.95" customHeight="1"/>
    <row r="1519" ht="24.95" customHeight="1"/>
    <row r="1520" ht="24.95" customHeight="1"/>
    <row r="1521" ht="24.95" customHeight="1"/>
    <row r="1522" ht="24.95" customHeight="1"/>
    <row r="1558" ht="24.95" customHeight="1"/>
    <row r="1559" ht="24.95" customHeight="1"/>
    <row r="1560" ht="24.95" customHeight="1"/>
    <row r="1561" ht="24.95" customHeight="1"/>
    <row r="1562" ht="24.95" customHeight="1"/>
    <row r="1563" ht="24.95" customHeight="1"/>
    <row r="1564" ht="24.95" customHeight="1"/>
    <row r="1565" ht="24.95" customHeight="1"/>
    <row r="1566" ht="24.95" customHeight="1"/>
    <row r="1567" ht="24.95" customHeight="1"/>
    <row r="1568" ht="24.95" customHeight="1"/>
    <row r="1569" ht="24.95" customHeight="1"/>
    <row r="1570" ht="24.95" customHeight="1"/>
    <row r="1571" ht="24.95" customHeight="1"/>
    <row r="1614" ht="24.95" customHeight="1"/>
    <row r="1615" ht="24.95" customHeight="1"/>
    <row r="1616" ht="24.95" customHeight="1"/>
    <row r="1617" ht="24.95" customHeight="1"/>
    <row r="1618" ht="24.95" customHeight="1"/>
    <row r="1619" ht="24.95" customHeight="1"/>
    <row r="1620" ht="24.95" customHeight="1"/>
    <row r="1621" ht="24.95" customHeight="1"/>
    <row r="1622" ht="24.95" customHeight="1"/>
    <row r="1623" ht="24.95" customHeight="1"/>
    <row r="1624" ht="24.95" customHeight="1"/>
    <row r="1625" ht="24.95" customHeight="1"/>
    <row r="1626" ht="24.95" customHeight="1"/>
    <row r="1627" ht="24.95" customHeight="1"/>
    <row r="1671" ht="24.95" customHeight="1"/>
    <row r="1672" ht="24.95" customHeight="1"/>
    <row r="1673" ht="24.95" customHeight="1"/>
    <row r="1674" ht="24.95" customHeight="1"/>
    <row r="1675" ht="24.95" customHeight="1"/>
    <row r="1676" ht="24.95" customHeight="1"/>
    <row r="1677" ht="24.95" customHeight="1"/>
    <row r="1678" ht="24.95" customHeight="1"/>
    <row r="1679" ht="24.95" customHeight="1"/>
    <row r="1680" ht="24.95" customHeight="1"/>
    <row r="1681" ht="24.95" customHeight="1"/>
    <row r="1682" ht="24.95" customHeight="1"/>
    <row r="1683" ht="24.95" customHeight="1"/>
    <row r="1727" ht="24.95" customHeight="1"/>
    <row r="1728" ht="24.95" customHeight="1"/>
    <row r="1729" ht="24.95" customHeight="1"/>
    <row r="1730" ht="24.95" customHeight="1"/>
    <row r="1731" ht="24.95" customHeight="1"/>
    <row r="1732" ht="24.95" customHeight="1"/>
    <row r="1733" ht="24.95" customHeight="1"/>
    <row r="1734" ht="24.95" customHeight="1"/>
    <row r="1735" ht="24.95" customHeight="1"/>
    <row r="1736" ht="24.95" customHeight="1"/>
    <row r="1737" ht="24.95" customHeight="1"/>
    <row r="1738" ht="24.95" customHeight="1"/>
    <row r="1739" ht="24.95" customHeight="1"/>
    <row r="1783" ht="24.95" customHeight="1"/>
    <row r="1784" ht="24.95" customHeight="1"/>
    <row r="1785" ht="24.95" customHeight="1"/>
    <row r="1786" ht="24.95" customHeight="1"/>
    <row r="1787" ht="24.95" customHeight="1"/>
    <row r="1788" ht="24.95" customHeight="1"/>
    <row r="1789" ht="24.95" customHeight="1"/>
    <row r="1790" ht="24.95" customHeight="1"/>
    <row r="1791" ht="24.95" customHeight="1"/>
    <row r="1792" ht="24.95" customHeight="1"/>
    <row r="1793" ht="24.95" customHeight="1"/>
    <row r="1794" ht="24.95" customHeight="1"/>
    <row r="1795" ht="24.95" customHeight="1"/>
    <row r="1840" ht="24.95" customHeight="1"/>
    <row r="1841" ht="24.95" customHeight="1"/>
    <row r="1842" ht="24.95" customHeight="1"/>
    <row r="1843" ht="24.95" customHeight="1"/>
    <row r="1844" ht="24.95" customHeight="1"/>
    <row r="1845" ht="24.95" customHeight="1"/>
    <row r="1846" ht="24.95" customHeight="1"/>
    <row r="1847" ht="24.95" customHeight="1"/>
    <row r="1848" ht="24.95" customHeight="1"/>
    <row r="1849" ht="24.95" customHeight="1"/>
    <row r="1850" ht="24.95" customHeight="1"/>
    <row r="1851" ht="24.95" customHeight="1"/>
    <row r="1852" ht="24.95" customHeight="1"/>
    <row r="1896" ht="24.95" customHeight="1"/>
    <row r="1897" ht="24.95" customHeight="1"/>
    <row r="1898" ht="24.95" customHeight="1"/>
    <row r="1899" ht="24.95" customHeight="1"/>
    <row r="1900" ht="24.95" customHeight="1"/>
    <row r="1901" ht="24.95" customHeight="1"/>
    <row r="1902" ht="24.95" customHeight="1"/>
    <row r="1903" ht="24.95" customHeight="1"/>
    <row r="1904" ht="24.95" customHeight="1"/>
    <row r="1905" ht="24.95" customHeight="1"/>
    <row r="1906" ht="24.95" customHeight="1"/>
    <row r="1907" ht="24.95" customHeight="1"/>
    <row r="1908" ht="24.95" customHeight="1"/>
  </sheetData>
  <mergeCells count="452">
    <mergeCell ref="A2:J2"/>
    <mergeCell ref="O2:X2"/>
    <mergeCell ref="AC2:AL2"/>
    <mergeCell ref="A3:J3"/>
    <mergeCell ref="O3:X3"/>
    <mergeCell ref="AC3:AL3"/>
    <mergeCell ref="A4:J4"/>
    <mergeCell ref="O4:X4"/>
    <mergeCell ref="AC4:AL4"/>
    <mergeCell ref="A21:B21"/>
    <mergeCell ref="O21:P21"/>
    <mergeCell ref="AC21:AD21"/>
    <mergeCell ref="G23:J23"/>
    <mergeCell ref="U23:X23"/>
    <mergeCell ref="G24:J24"/>
    <mergeCell ref="U24:X24"/>
    <mergeCell ref="G25:J25"/>
    <mergeCell ref="U25:X25"/>
    <mergeCell ref="G27:J27"/>
    <mergeCell ref="U27:X27"/>
    <mergeCell ref="G28:J28"/>
    <mergeCell ref="U28:X28"/>
    <mergeCell ref="G29:J29"/>
    <mergeCell ref="P29:S29"/>
    <mergeCell ref="U29:X29"/>
    <mergeCell ref="AI29:AL29"/>
    <mergeCell ref="AI30:AL30"/>
    <mergeCell ref="G32:J32"/>
    <mergeCell ref="U32:X32"/>
    <mergeCell ref="G33:J33"/>
    <mergeCell ref="U33:X33"/>
    <mergeCell ref="AI33:AL33"/>
    <mergeCell ref="G34:J34"/>
    <mergeCell ref="U34:X34"/>
    <mergeCell ref="AI34:AL34"/>
    <mergeCell ref="G35:J35"/>
    <mergeCell ref="U35:X35"/>
    <mergeCell ref="AI35:AL35"/>
    <mergeCell ref="A49:J49"/>
    <mergeCell ref="O49:X49"/>
    <mergeCell ref="AC49:AL49"/>
    <mergeCell ref="A50:J50"/>
    <mergeCell ref="O50:X50"/>
    <mergeCell ref="AC50:AL50"/>
    <mergeCell ref="A51:J51"/>
    <mergeCell ref="O51:X51"/>
    <mergeCell ref="AC51:AL51"/>
    <mergeCell ref="A68:B68"/>
    <mergeCell ref="O68:P68"/>
    <mergeCell ref="AC68:AD68"/>
    <mergeCell ref="G72:J72"/>
    <mergeCell ref="U72:X72"/>
    <mergeCell ref="G74:J74"/>
    <mergeCell ref="U74:X74"/>
    <mergeCell ref="AI74:AL74"/>
    <mergeCell ref="G76:J76"/>
    <mergeCell ref="U76:X76"/>
    <mergeCell ref="AI76:AL76"/>
    <mergeCell ref="G77:J77"/>
    <mergeCell ref="U77:X77"/>
    <mergeCell ref="AI77:AL77"/>
    <mergeCell ref="G80:J80"/>
    <mergeCell ref="U80:X80"/>
    <mergeCell ref="AI80:AL80"/>
    <mergeCell ref="G81:J81"/>
    <mergeCell ref="U81:X81"/>
    <mergeCell ref="AI81:AL81"/>
    <mergeCell ref="G82:J82"/>
    <mergeCell ref="U82:X82"/>
    <mergeCell ref="AI82:AL82"/>
    <mergeCell ref="A87:J87"/>
    <mergeCell ref="O87:X87"/>
    <mergeCell ref="AC87:AL87"/>
    <mergeCell ref="A88:J88"/>
    <mergeCell ref="O88:X88"/>
    <mergeCell ref="AC88:AL88"/>
    <mergeCell ref="A89:J89"/>
    <mergeCell ref="O89:X89"/>
    <mergeCell ref="AC89:AL89"/>
    <mergeCell ref="A106:B106"/>
    <mergeCell ref="O106:P106"/>
    <mergeCell ref="AC106:AD106"/>
    <mergeCell ref="G109:J109"/>
    <mergeCell ref="U109:X109"/>
    <mergeCell ref="G111:J111"/>
    <mergeCell ref="U111:X111"/>
    <mergeCell ref="AI111:AL111"/>
    <mergeCell ref="G113:J113"/>
    <mergeCell ref="U113:X113"/>
    <mergeCell ref="AI113:AL113"/>
    <mergeCell ref="G114:J114"/>
    <mergeCell ref="U114:X114"/>
    <mergeCell ref="AI114:AL114"/>
    <mergeCell ref="G117:J117"/>
    <mergeCell ref="U117:X117"/>
    <mergeCell ref="AI117:AL117"/>
    <mergeCell ref="G118:J118"/>
    <mergeCell ref="U118:X118"/>
    <mergeCell ref="AI118:AL118"/>
    <mergeCell ref="G119:J119"/>
    <mergeCell ref="U119:X119"/>
    <mergeCell ref="AI119:AL119"/>
    <mergeCell ref="A131:J131"/>
    <mergeCell ref="O131:X131"/>
    <mergeCell ref="AC131:AL131"/>
    <mergeCell ref="A132:J132"/>
    <mergeCell ref="O132:X132"/>
    <mergeCell ref="AC132:AL132"/>
    <mergeCell ref="A133:J133"/>
    <mergeCell ref="O133:X133"/>
    <mergeCell ref="AC133:AL133"/>
    <mergeCell ref="A151:B151"/>
    <mergeCell ref="O151:P151"/>
    <mergeCell ref="AC151:AD151"/>
    <mergeCell ref="G156:J156"/>
    <mergeCell ref="U156:X156"/>
    <mergeCell ref="AI156:AL156"/>
    <mergeCell ref="G158:J158"/>
    <mergeCell ref="U158:X158"/>
    <mergeCell ref="AI158:AL158"/>
    <mergeCell ref="G159:J159"/>
    <mergeCell ref="U159:X159"/>
    <mergeCell ref="AI159:AL159"/>
    <mergeCell ref="G162:J162"/>
    <mergeCell ref="U162:X162"/>
    <mergeCell ref="AI162:AL162"/>
    <mergeCell ref="G163:J163"/>
    <mergeCell ref="U163:X163"/>
    <mergeCell ref="AI163:AL163"/>
    <mergeCell ref="G164:J164"/>
    <mergeCell ref="U164:X164"/>
    <mergeCell ref="AI164:AL164"/>
    <mergeCell ref="A178:J178"/>
    <mergeCell ref="O178:X178"/>
    <mergeCell ref="AC178:AL178"/>
    <mergeCell ref="A179:J179"/>
    <mergeCell ref="O179:X179"/>
    <mergeCell ref="AC179:AL179"/>
    <mergeCell ref="A180:J180"/>
    <mergeCell ref="O180:X180"/>
    <mergeCell ref="AC180:AL180"/>
    <mergeCell ref="A198:B198"/>
    <mergeCell ref="O198:P198"/>
    <mergeCell ref="AC198:AD198"/>
    <mergeCell ref="G201:J201"/>
    <mergeCell ref="U201:X201"/>
    <mergeCell ref="G203:J203"/>
    <mergeCell ref="U203:X203"/>
    <mergeCell ref="AI203:AL203"/>
    <mergeCell ref="G205:J205"/>
    <mergeCell ref="U205:X205"/>
    <mergeCell ref="AI205:AL205"/>
    <mergeCell ref="G206:J206"/>
    <mergeCell ref="U206:X206"/>
    <mergeCell ref="AI206:AL206"/>
    <mergeCell ref="G209:J209"/>
    <mergeCell ref="U209:X209"/>
    <mergeCell ref="AI209:AL209"/>
    <mergeCell ref="G210:J210"/>
    <mergeCell ref="U210:X210"/>
    <mergeCell ref="AI210:AL210"/>
    <mergeCell ref="G211:J211"/>
    <mergeCell ref="U211:X211"/>
    <mergeCell ref="AI211:AL211"/>
    <mergeCell ref="A226:J226"/>
    <mergeCell ref="O226:X226"/>
    <mergeCell ref="AC226:AL226"/>
    <mergeCell ref="A227:J227"/>
    <mergeCell ref="O227:X227"/>
    <mergeCell ref="AC227:AL227"/>
    <mergeCell ref="A228:J228"/>
    <mergeCell ref="O228:X228"/>
    <mergeCell ref="AC228:AL228"/>
    <mergeCell ref="A245:B245"/>
    <mergeCell ref="O245:P245"/>
    <mergeCell ref="AC245:AD245"/>
    <mergeCell ref="G248:J248"/>
    <mergeCell ref="U248:X248"/>
    <mergeCell ref="G250:J250"/>
    <mergeCell ref="U250:X250"/>
    <mergeCell ref="AI250:AL250"/>
    <mergeCell ref="G252:J252"/>
    <mergeCell ref="U252:X252"/>
    <mergeCell ref="AI252:AL252"/>
    <mergeCell ref="G253:J253"/>
    <mergeCell ref="U253:X253"/>
    <mergeCell ref="AI253:AL253"/>
    <mergeCell ref="G256:J256"/>
    <mergeCell ref="U256:X256"/>
    <mergeCell ref="AI256:AL256"/>
    <mergeCell ref="G257:J257"/>
    <mergeCell ref="U257:X257"/>
    <mergeCell ref="AI257:AL257"/>
    <mergeCell ref="G258:J258"/>
    <mergeCell ref="U258:X258"/>
    <mergeCell ref="AI258:AL258"/>
    <mergeCell ref="A272:J272"/>
    <mergeCell ref="O272:X272"/>
    <mergeCell ref="AC272:AL272"/>
    <mergeCell ref="A273:J273"/>
    <mergeCell ref="O273:X273"/>
    <mergeCell ref="AC273:AL273"/>
    <mergeCell ref="A274:J274"/>
    <mergeCell ref="O274:X274"/>
    <mergeCell ref="AC274:AL274"/>
    <mergeCell ref="A291:B291"/>
    <mergeCell ref="O291:P291"/>
    <mergeCell ref="AC291:AD291"/>
    <mergeCell ref="G294:J294"/>
    <mergeCell ref="U294:X294"/>
    <mergeCell ref="AI294:AL294"/>
    <mergeCell ref="G296:J296"/>
    <mergeCell ref="U296:X296"/>
    <mergeCell ref="AI296:AL296"/>
    <mergeCell ref="G298:J298"/>
    <mergeCell ref="U298:X298"/>
    <mergeCell ref="AI298:AL298"/>
    <mergeCell ref="G299:J299"/>
    <mergeCell ref="U299:X299"/>
    <mergeCell ref="AI299:AL299"/>
    <mergeCell ref="G302:J302"/>
    <mergeCell ref="U302:X302"/>
    <mergeCell ref="AI302:AL302"/>
    <mergeCell ref="G303:J303"/>
    <mergeCell ref="U303:X303"/>
    <mergeCell ref="AI303:AL303"/>
    <mergeCell ref="G304:J304"/>
    <mergeCell ref="U304:X304"/>
    <mergeCell ref="AI304:AL304"/>
    <mergeCell ref="A317:J317"/>
    <mergeCell ref="O317:X317"/>
    <mergeCell ref="AC317:AL317"/>
    <mergeCell ref="A318:J318"/>
    <mergeCell ref="O318:X318"/>
    <mergeCell ref="AC318:AL318"/>
    <mergeCell ref="A319:J319"/>
    <mergeCell ref="O319:X319"/>
    <mergeCell ref="AC319:AL319"/>
    <mergeCell ref="A336:B336"/>
    <mergeCell ref="O336:P336"/>
    <mergeCell ref="AC336:AD336"/>
    <mergeCell ref="G339:J339"/>
    <mergeCell ref="U339:X339"/>
    <mergeCell ref="G341:J341"/>
    <mergeCell ref="U341:X341"/>
    <mergeCell ref="AI341:AL341"/>
    <mergeCell ref="G343:J343"/>
    <mergeCell ref="U343:X343"/>
    <mergeCell ref="AI343:AL343"/>
    <mergeCell ref="G344:J344"/>
    <mergeCell ref="U344:X344"/>
    <mergeCell ref="AI344:AL344"/>
    <mergeCell ref="G347:J347"/>
    <mergeCell ref="U347:X347"/>
    <mergeCell ref="AI347:AL347"/>
    <mergeCell ref="G348:J348"/>
    <mergeCell ref="U348:X348"/>
    <mergeCell ref="AI348:AL348"/>
    <mergeCell ref="G349:J349"/>
    <mergeCell ref="U349:X349"/>
    <mergeCell ref="AI349:AL349"/>
    <mergeCell ref="A362:J362"/>
    <mergeCell ref="O362:X362"/>
    <mergeCell ref="AC362:AL362"/>
    <mergeCell ref="A363:J363"/>
    <mergeCell ref="O363:X363"/>
    <mergeCell ref="AC363:AL363"/>
    <mergeCell ref="A364:J364"/>
    <mergeCell ref="O364:X364"/>
    <mergeCell ref="AC364:AL364"/>
    <mergeCell ref="A381:B381"/>
    <mergeCell ref="O381:P381"/>
    <mergeCell ref="AC381:AD381"/>
    <mergeCell ref="G384:J384"/>
    <mergeCell ref="U384:X384"/>
    <mergeCell ref="G387:J387"/>
    <mergeCell ref="U387:X387"/>
    <mergeCell ref="AI387:AL387"/>
    <mergeCell ref="G389:J389"/>
    <mergeCell ref="U389:X389"/>
    <mergeCell ref="AI389:AL389"/>
    <mergeCell ref="G390:J390"/>
    <mergeCell ref="U390:X390"/>
    <mergeCell ref="AI390:AL390"/>
    <mergeCell ref="G393:J393"/>
    <mergeCell ref="U393:X393"/>
    <mergeCell ref="AI393:AL393"/>
    <mergeCell ref="G394:J394"/>
    <mergeCell ref="U394:X394"/>
    <mergeCell ref="AI394:AL394"/>
    <mergeCell ref="G395:J395"/>
    <mergeCell ref="U395:X395"/>
    <mergeCell ref="AI395:AL395"/>
    <mergeCell ref="A405:J405"/>
    <mergeCell ref="O405:X405"/>
    <mergeCell ref="AC405:AL405"/>
    <mergeCell ref="A406:J406"/>
    <mergeCell ref="O406:X406"/>
    <mergeCell ref="AC406:AL406"/>
    <mergeCell ref="A407:J407"/>
    <mergeCell ref="O407:X407"/>
    <mergeCell ref="AC407:AL407"/>
    <mergeCell ref="A424:B424"/>
    <mergeCell ref="O424:P424"/>
    <mergeCell ref="AC424:AD424"/>
    <mergeCell ref="G427:J427"/>
    <mergeCell ref="U427:X427"/>
    <mergeCell ref="G429:J429"/>
    <mergeCell ref="U429:X429"/>
    <mergeCell ref="AI429:AL429"/>
    <mergeCell ref="G431:J431"/>
    <mergeCell ref="U431:X431"/>
    <mergeCell ref="AI431:AL431"/>
    <mergeCell ref="G432:J432"/>
    <mergeCell ref="U432:X432"/>
    <mergeCell ref="AI432:AL432"/>
    <mergeCell ref="G435:J435"/>
    <mergeCell ref="U435:X435"/>
    <mergeCell ref="AI435:AL435"/>
    <mergeCell ref="G436:J436"/>
    <mergeCell ref="U436:X436"/>
    <mergeCell ref="AI436:AL436"/>
    <mergeCell ref="A442:J442"/>
    <mergeCell ref="O442:X442"/>
    <mergeCell ref="AC442:AL442"/>
    <mergeCell ref="A443:J443"/>
    <mergeCell ref="O443:X443"/>
    <mergeCell ref="AC443:AL443"/>
    <mergeCell ref="A444:J444"/>
    <mergeCell ref="O444:X444"/>
    <mergeCell ref="AC444:AL444"/>
    <mergeCell ref="A461:B461"/>
    <mergeCell ref="O461:P461"/>
    <mergeCell ref="AC461:AD461"/>
    <mergeCell ref="G464:J464"/>
    <mergeCell ref="U464:X464"/>
    <mergeCell ref="G466:J466"/>
    <mergeCell ref="U466:X466"/>
    <mergeCell ref="AI466:AL466"/>
    <mergeCell ref="G467:J467"/>
    <mergeCell ref="U467:X467"/>
    <mergeCell ref="AI467:AL467"/>
    <mergeCell ref="AU467:AX467"/>
    <mergeCell ref="G470:J470"/>
    <mergeCell ref="U470:X470"/>
    <mergeCell ref="G471:J471"/>
    <mergeCell ref="U471:X471"/>
    <mergeCell ref="G472:J472"/>
    <mergeCell ref="U472:X472"/>
    <mergeCell ref="A480:J480"/>
    <mergeCell ref="O480:X480"/>
    <mergeCell ref="AC480:AL480"/>
    <mergeCell ref="A481:J481"/>
    <mergeCell ref="O481:X481"/>
    <mergeCell ref="AC481:AL481"/>
    <mergeCell ref="A482:J482"/>
    <mergeCell ref="O482:X482"/>
    <mergeCell ref="AC482:AL482"/>
    <mergeCell ref="A499:B499"/>
    <mergeCell ref="O499:P499"/>
    <mergeCell ref="AC499:AD499"/>
    <mergeCell ref="G502:J502"/>
    <mergeCell ref="U502:X502"/>
    <mergeCell ref="G504:J504"/>
    <mergeCell ref="U504:X504"/>
    <mergeCell ref="AI504:AL504"/>
    <mergeCell ref="G506:J506"/>
    <mergeCell ref="U506:X506"/>
    <mergeCell ref="AI506:AL506"/>
    <mergeCell ref="A525:J525"/>
    <mergeCell ref="O525:X525"/>
    <mergeCell ref="AC525:AL525"/>
    <mergeCell ref="A526:J526"/>
    <mergeCell ref="O526:X526"/>
    <mergeCell ref="AC526:AL526"/>
    <mergeCell ref="A527:J527"/>
    <mergeCell ref="O527:X527"/>
    <mergeCell ref="AC527:AL527"/>
    <mergeCell ref="A544:B544"/>
    <mergeCell ref="O544:P544"/>
    <mergeCell ref="AC544:AD544"/>
    <mergeCell ref="G547:J547"/>
    <mergeCell ref="U547:X547"/>
    <mergeCell ref="G549:J549"/>
    <mergeCell ref="U549:X549"/>
    <mergeCell ref="AI549:AL549"/>
    <mergeCell ref="A562:J562"/>
    <mergeCell ref="O562:X562"/>
    <mergeCell ref="AC562:AL562"/>
    <mergeCell ref="A563:J563"/>
    <mergeCell ref="O563:X563"/>
    <mergeCell ref="AC563:AL563"/>
    <mergeCell ref="A564:J564"/>
    <mergeCell ref="O564:X564"/>
    <mergeCell ref="AC564:AL564"/>
    <mergeCell ref="A581:B581"/>
    <mergeCell ref="O581:P581"/>
    <mergeCell ref="AC581:AD581"/>
    <mergeCell ref="G584:J584"/>
    <mergeCell ref="U584:X584"/>
    <mergeCell ref="G586:J586"/>
    <mergeCell ref="U586:X586"/>
    <mergeCell ref="AI586:AL586"/>
    <mergeCell ref="A599:J599"/>
    <mergeCell ref="O599:X599"/>
    <mergeCell ref="AC599:AL599"/>
    <mergeCell ref="A600:J600"/>
    <mergeCell ref="O600:X600"/>
    <mergeCell ref="AC600:AL600"/>
    <mergeCell ref="A601:J601"/>
    <mergeCell ref="O601:X601"/>
    <mergeCell ref="AC601:AL601"/>
    <mergeCell ref="A620:B620"/>
    <mergeCell ref="O620:P620"/>
    <mergeCell ref="AC620:AD620"/>
    <mergeCell ref="G623:J623"/>
    <mergeCell ref="U623:X623"/>
    <mergeCell ref="G625:J625"/>
    <mergeCell ref="U625:X625"/>
    <mergeCell ref="AI625:AL625"/>
    <mergeCell ref="A636:J636"/>
    <mergeCell ref="O636:X636"/>
    <mergeCell ref="AC636:AL636"/>
    <mergeCell ref="A637:J637"/>
    <mergeCell ref="O637:X637"/>
    <mergeCell ref="AC637:AL637"/>
    <mergeCell ref="A638:J638"/>
    <mergeCell ref="O638:X638"/>
    <mergeCell ref="AC638:AL638"/>
    <mergeCell ref="A655:B655"/>
    <mergeCell ref="O655:P655"/>
    <mergeCell ref="AC655:AD655"/>
    <mergeCell ref="G658:J658"/>
    <mergeCell ref="U658:X658"/>
    <mergeCell ref="U660:X660"/>
    <mergeCell ref="AI660:AL660"/>
    <mergeCell ref="U662:X662"/>
    <mergeCell ref="AI662:AL662"/>
    <mergeCell ref="U714:X714"/>
    <mergeCell ref="AI714:AL714"/>
    <mergeCell ref="U716:X716"/>
    <mergeCell ref="AI716:AL716"/>
    <mergeCell ref="O686:X686"/>
    <mergeCell ref="AC686:AL686"/>
    <mergeCell ref="O687:X687"/>
    <mergeCell ref="AC687:AL687"/>
    <mergeCell ref="O688:X688"/>
    <mergeCell ref="AC688:AL688"/>
    <mergeCell ref="O709:P709"/>
    <mergeCell ref="AC709:AD709"/>
    <mergeCell ref="U712:X712"/>
    <mergeCell ref="AI712:AL712"/>
  </mergeCells>
  <pageMargins left="0.31496062992126" right="0.27559055118110198" top="0.59055118110236204" bottom="0.78740157480314998" header="0.511811023622047" footer="0.511811023622047"/>
  <pageSetup paperSize="5" scale="9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topLeftCell="B28" zoomScale="80" zoomScaleNormal="80" workbookViewId="0">
      <selection activeCell="H59" sqref="H59:K59"/>
    </sheetView>
  </sheetViews>
  <sheetFormatPr defaultColWidth="9" defaultRowHeight="12.75"/>
  <cols>
    <col min="1" max="1" width="4.28515625" hidden="1" customWidth="1"/>
    <col min="2" max="2" width="4" customWidth="1"/>
    <col min="3" max="3" width="12.140625" customWidth="1"/>
    <col min="4" max="4" width="7.42578125" customWidth="1"/>
    <col min="5" max="5" width="10.140625" customWidth="1"/>
    <col min="6" max="6" width="9.7109375" customWidth="1"/>
    <col min="7" max="7" width="10.28515625" customWidth="1"/>
    <col min="8" max="8" width="10.28515625" style="203" customWidth="1"/>
    <col min="9" max="9" width="14.5703125" customWidth="1"/>
    <col min="10" max="10" width="9.140625" customWidth="1"/>
    <col min="11" max="11" width="11.7109375" customWidth="1"/>
    <col min="13" max="13" width="6.7109375" style="204" customWidth="1"/>
    <col min="14" max="14" width="8.5703125" customWidth="1"/>
    <col min="15" max="15" width="7.42578125" customWidth="1"/>
    <col min="16" max="17" width="6.7109375" customWidth="1"/>
    <col min="18" max="18" width="8" customWidth="1"/>
    <col min="19" max="19" width="6.7109375" customWidth="1"/>
  </cols>
  <sheetData>
    <row r="1" spans="2:22" ht="7.5" customHeight="1"/>
    <row r="2" spans="2:22" ht="20.100000000000001" customHeight="1">
      <c r="B2" s="680" t="s">
        <v>117</v>
      </c>
      <c r="C2" s="680"/>
      <c r="D2" s="680"/>
      <c r="E2" s="680"/>
      <c r="F2" s="680"/>
      <c r="G2" s="680"/>
      <c r="H2" s="680"/>
      <c r="I2" s="680"/>
      <c r="J2" s="680"/>
      <c r="K2" s="680"/>
    </row>
    <row r="3" spans="2:22" ht="20.100000000000001" customHeight="1">
      <c r="B3" s="680" t="s">
        <v>1</v>
      </c>
      <c r="C3" s="680"/>
      <c r="D3" s="680"/>
      <c r="E3" s="680"/>
      <c r="F3" s="680"/>
      <c r="G3" s="680"/>
      <c r="H3" s="680"/>
      <c r="I3" s="680"/>
      <c r="J3" s="680"/>
      <c r="K3" s="680"/>
    </row>
    <row r="4" spans="2:22" ht="15" customHeight="1">
      <c r="B4" s="680" t="s">
        <v>313</v>
      </c>
      <c r="C4" s="680"/>
      <c r="D4" s="680"/>
      <c r="E4" s="680"/>
      <c r="F4" s="680"/>
      <c r="G4" s="680"/>
      <c r="H4" s="680"/>
      <c r="I4" s="680"/>
      <c r="J4" s="680"/>
      <c r="K4" s="680"/>
    </row>
    <row r="5" spans="2:22" ht="9" customHeight="1">
      <c r="B5" s="9"/>
      <c r="C5" s="9"/>
      <c r="D5" s="9"/>
      <c r="E5" s="9"/>
      <c r="F5" s="9"/>
      <c r="G5" s="9"/>
      <c r="H5" s="205"/>
      <c r="I5" s="9"/>
      <c r="J5" s="9"/>
      <c r="K5" s="9"/>
    </row>
    <row r="6" spans="2:22" ht="18" customHeight="1">
      <c r="B6" s="674" t="s">
        <v>118</v>
      </c>
      <c r="C6" s="677" t="s">
        <v>61</v>
      </c>
      <c r="D6" s="681" t="s">
        <v>119</v>
      </c>
      <c r="E6" s="681"/>
      <c r="F6" s="681"/>
      <c r="G6" s="61" t="s">
        <v>77</v>
      </c>
      <c r="H6" s="206" t="s">
        <v>120</v>
      </c>
      <c r="I6" s="61" t="s">
        <v>121</v>
      </c>
      <c r="J6" s="61" t="s">
        <v>77</v>
      </c>
      <c r="K6" s="267" t="s">
        <v>122</v>
      </c>
      <c r="L6" s="202"/>
      <c r="M6" s="570"/>
      <c r="N6" s="202"/>
      <c r="O6" s="202"/>
      <c r="P6" s="202"/>
      <c r="Q6" s="202"/>
      <c r="R6" s="202"/>
      <c r="S6" s="202"/>
      <c r="T6" s="202"/>
      <c r="U6" s="202"/>
      <c r="V6" s="202"/>
    </row>
    <row r="7" spans="2:22" ht="18" customHeight="1">
      <c r="B7" s="675"/>
      <c r="C7" s="678"/>
      <c r="D7" s="208" t="s">
        <v>12</v>
      </c>
      <c r="E7" s="209" t="s">
        <v>13</v>
      </c>
      <c r="F7" s="209" t="s">
        <v>14</v>
      </c>
      <c r="G7" s="207" t="s">
        <v>123</v>
      </c>
      <c r="H7" s="210" t="s">
        <v>124</v>
      </c>
      <c r="I7" s="207" t="s">
        <v>125</v>
      </c>
      <c r="J7" s="207" t="s">
        <v>126</v>
      </c>
      <c r="K7" s="268" t="s">
        <v>120</v>
      </c>
      <c r="L7" s="202"/>
      <c r="M7" s="682"/>
      <c r="N7" s="673"/>
      <c r="O7" s="673"/>
      <c r="P7" s="202"/>
      <c r="Q7" s="673"/>
      <c r="R7" s="673"/>
      <c r="S7" s="673"/>
      <c r="T7" s="202"/>
      <c r="U7" s="202"/>
      <c r="V7" s="202"/>
    </row>
    <row r="8" spans="2:22" ht="18" customHeight="1">
      <c r="B8" s="676"/>
      <c r="C8" s="679"/>
      <c r="D8" s="211"/>
      <c r="E8" s="62"/>
      <c r="F8" s="62"/>
      <c r="G8" s="62"/>
      <c r="H8" s="212"/>
      <c r="I8" s="62" t="s">
        <v>127</v>
      </c>
      <c r="J8" s="62" t="s">
        <v>128</v>
      </c>
      <c r="K8" s="269"/>
      <c r="L8" s="202"/>
      <c r="M8" s="570"/>
      <c r="N8" s="202"/>
      <c r="O8" s="202"/>
      <c r="P8" s="202"/>
      <c r="Q8" s="202"/>
      <c r="R8" s="202"/>
      <c r="S8" s="202"/>
      <c r="T8" s="202"/>
      <c r="U8" s="202"/>
      <c r="V8" s="202"/>
    </row>
    <row r="9" spans="2:22" ht="18" customHeight="1">
      <c r="B9" s="213">
        <v>1</v>
      </c>
      <c r="C9" s="214">
        <v>2</v>
      </c>
      <c r="D9" s="214">
        <v>3</v>
      </c>
      <c r="E9" s="214">
        <v>4</v>
      </c>
      <c r="F9" s="214">
        <v>5</v>
      </c>
      <c r="G9" s="214">
        <v>6</v>
      </c>
      <c r="H9" s="215">
        <v>7</v>
      </c>
      <c r="I9" s="214">
        <v>8</v>
      </c>
      <c r="J9" s="214">
        <v>9</v>
      </c>
      <c r="K9" s="270">
        <v>10</v>
      </c>
      <c r="L9" s="202"/>
      <c r="M9" s="570"/>
      <c r="N9" s="202"/>
      <c r="O9" s="571"/>
      <c r="P9" s="202"/>
      <c r="Q9" s="571"/>
      <c r="R9" s="571"/>
      <c r="S9" s="571"/>
      <c r="T9" s="202"/>
      <c r="U9" s="202"/>
      <c r="V9" s="202"/>
    </row>
    <row r="10" spans="2:22" ht="18" customHeight="1">
      <c r="B10" s="216">
        <v>1</v>
      </c>
      <c r="C10" s="217" t="s">
        <v>129</v>
      </c>
      <c r="D10" s="218">
        <f>'PERKOMODITI 2024'!C21</f>
        <v>239</v>
      </c>
      <c r="E10" s="218">
        <f>'PERKOMODITI 2024'!D21</f>
        <v>1440</v>
      </c>
      <c r="F10" s="218">
        <f>'PERKOMODITI 2024'!E21</f>
        <v>731</v>
      </c>
      <c r="G10" s="219">
        <f>D10+E10+F10</f>
        <v>2410</v>
      </c>
      <c r="H10" s="220">
        <f t="shared" ref="H10:H16" si="0">I10/1000*E10</f>
        <v>1300.32</v>
      </c>
      <c r="I10" s="224">
        <f>'PERKOMODITI 2024'!H21</f>
        <v>903</v>
      </c>
      <c r="J10" s="271">
        <f>'PERKOMODITI 2024'!I21</f>
        <v>2720</v>
      </c>
      <c r="K10" s="272" t="s">
        <v>130</v>
      </c>
      <c r="L10" s="278"/>
      <c r="M10" s="281"/>
      <c r="N10" s="202"/>
      <c r="O10" s="202"/>
      <c r="P10" s="278"/>
      <c r="Q10" s="202"/>
      <c r="R10" s="295"/>
      <c r="S10" s="202"/>
      <c r="T10" s="295"/>
      <c r="U10" s="202"/>
      <c r="V10" s="202"/>
    </row>
    <row r="11" spans="2:22" ht="18" customHeight="1">
      <c r="B11" s="221">
        <v>2</v>
      </c>
      <c r="C11" s="222" t="s">
        <v>131</v>
      </c>
      <c r="D11" s="218">
        <f>'PERKOMODITI 2024'!C198</f>
        <v>352</v>
      </c>
      <c r="E11" s="218">
        <f>'PERKOMODITI 2024'!D198</f>
        <v>1229.3</v>
      </c>
      <c r="F11" s="218">
        <f>'PERKOMODITI 2024'!E198</f>
        <v>2134.6999999999998</v>
      </c>
      <c r="G11" s="219">
        <f t="shared" ref="G11:G25" si="1">D11+E11+F11</f>
        <v>3716</v>
      </c>
      <c r="H11" s="220">
        <f t="shared" si="0"/>
        <v>1106.3699999999999</v>
      </c>
      <c r="I11" s="224">
        <f>'PERKOMODITI 2024'!H198</f>
        <v>900</v>
      </c>
      <c r="J11" s="271">
        <f>'PERKOMODITI 2024'!I198</f>
        <v>8529</v>
      </c>
      <c r="K11" s="274" t="s">
        <v>132</v>
      </c>
      <c r="L11" s="278"/>
      <c r="M11" s="281"/>
      <c r="N11" s="202"/>
      <c r="O11" s="202"/>
      <c r="P11" s="278"/>
      <c r="Q11" s="202"/>
      <c r="R11" s="295"/>
      <c r="S11" s="202"/>
      <c r="T11" s="202"/>
      <c r="U11" s="202"/>
      <c r="V11" s="202"/>
    </row>
    <row r="12" spans="2:22" ht="18" customHeight="1">
      <c r="B12" s="221">
        <v>3</v>
      </c>
      <c r="C12" s="222" t="s">
        <v>133</v>
      </c>
      <c r="D12" s="218">
        <f>'PERKOMODITI 2024'!C68</f>
        <v>6858</v>
      </c>
      <c r="E12" s="223">
        <f>'PERKOMODITI 2024'!D68</f>
        <v>23526</v>
      </c>
      <c r="F12" s="223">
        <f>'PERKOMODITI 2024'!E68</f>
        <v>3083</v>
      </c>
      <c r="G12" s="224">
        <f t="shared" si="1"/>
        <v>33467</v>
      </c>
      <c r="H12" s="220">
        <f t="shared" si="0"/>
        <v>81305.856</v>
      </c>
      <c r="I12" s="224">
        <f>'PERKOMODITI 2024'!H68</f>
        <v>3456</v>
      </c>
      <c r="J12" s="271">
        <f>'PERKOMODITI 2024'!I68</f>
        <v>11312</v>
      </c>
      <c r="K12" s="274" t="s">
        <v>134</v>
      </c>
      <c r="L12" s="278"/>
      <c r="M12" s="281"/>
      <c r="N12" s="202"/>
      <c r="O12" s="202"/>
      <c r="P12" s="278"/>
      <c r="Q12" s="278"/>
      <c r="R12" s="295"/>
      <c r="S12" s="202"/>
      <c r="T12" s="202"/>
      <c r="U12" s="202"/>
      <c r="V12" s="202"/>
    </row>
    <row r="13" spans="2:22" ht="18" customHeight="1">
      <c r="B13" s="221">
        <v>4</v>
      </c>
      <c r="C13" s="222" t="s">
        <v>135</v>
      </c>
      <c r="D13" s="225">
        <f>'PERKOMODITI 2024'!C381</f>
        <v>0</v>
      </c>
      <c r="E13" s="226">
        <f>'PERKOMODITI 2024'!D381</f>
        <v>10</v>
      </c>
      <c r="F13" s="226">
        <f>'PERKOMODITI 2024'!E381</f>
        <v>51</v>
      </c>
      <c r="G13" s="225">
        <f t="shared" si="1"/>
        <v>61</v>
      </c>
      <c r="H13" s="227">
        <f t="shared" si="0"/>
        <v>5.1400000000000006</v>
      </c>
      <c r="I13" s="224">
        <f>'PERKOMODITI 2024'!H381</f>
        <v>514</v>
      </c>
      <c r="J13" s="271">
        <f>'PERKOMODITI 2024'!I381</f>
        <v>151</v>
      </c>
      <c r="K13" s="274" t="s">
        <v>136</v>
      </c>
      <c r="L13" s="278"/>
      <c r="M13" s="281"/>
      <c r="N13" s="202"/>
      <c r="O13" s="202"/>
      <c r="P13" s="278"/>
      <c r="Q13" s="278"/>
      <c r="R13" s="202"/>
      <c r="S13" s="202"/>
      <c r="T13" s="202"/>
      <c r="U13" s="202"/>
      <c r="V13" s="202"/>
    </row>
    <row r="14" spans="2:22" ht="18" customHeight="1">
      <c r="B14" s="221">
        <v>5</v>
      </c>
      <c r="C14" s="222" t="s">
        <v>137</v>
      </c>
      <c r="D14" s="218">
        <f>'PERKOMODITI 2024'!C106</f>
        <v>24</v>
      </c>
      <c r="E14" s="218">
        <f>'PERKOMODITI 2024'!D106</f>
        <v>72</v>
      </c>
      <c r="F14" s="218">
        <f>'PERKOMODITI 2024'!E106</f>
        <v>176</v>
      </c>
      <c r="G14" s="219">
        <f t="shared" si="1"/>
        <v>272</v>
      </c>
      <c r="H14" s="228">
        <f t="shared" si="0"/>
        <v>62.496000000000002</v>
      </c>
      <c r="I14" s="224">
        <f>'PERKOMODITI 2024'!H106</f>
        <v>868</v>
      </c>
      <c r="J14" s="271">
        <f>'PERKOMODITI 2024'!I106</f>
        <v>768</v>
      </c>
      <c r="K14" s="274" t="s">
        <v>136</v>
      </c>
      <c r="L14" s="278"/>
      <c r="M14" s="281"/>
      <c r="N14" s="202"/>
      <c r="O14" s="202"/>
      <c r="P14" s="278"/>
      <c r="Q14" s="278"/>
      <c r="R14" s="295"/>
      <c r="S14" s="202"/>
      <c r="T14" s="202"/>
      <c r="U14" s="202"/>
      <c r="V14" s="202"/>
    </row>
    <row r="15" spans="2:22" ht="18" customHeight="1">
      <c r="B15" s="221">
        <v>6</v>
      </c>
      <c r="C15" s="222" t="s">
        <v>138</v>
      </c>
      <c r="D15" s="218">
        <f>'PERKOMODITI 2024'!C499</f>
        <v>75</v>
      </c>
      <c r="E15" s="218">
        <f>'PERKOMODITI 2024'!D499</f>
        <v>161</v>
      </c>
      <c r="F15" s="218">
        <f>'PERKOMODITI 2024'!E499</f>
        <v>162</v>
      </c>
      <c r="G15" s="219">
        <f t="shared" si="1"/>
        <v>398</v>
      </c>
      <c r="H15" s="228">
        <f t="shared" si="0"/>
        <v>71.323000000000008</v>
      </c>
      <c r="I15" s="224">
        <f>'PERKOMODITI 2024'!H499</f>
        <v>443</v>
      </c>
      <c r="J15" s="271">
        <f>'PERKOMODITI 2024'!I499</f>
        <v>235</v>
      </c>
      <c r="K15" s="274" t="s">
        <v>139</v>
      </c>
      <c r="L15" s="202"/>
      <c r="M15" s="281"/>
      <c r="N15" s="202"/>
      <c r="O15" s="202"/>
      <c r="P15" s="202"/>
      <c r="Q15" s="572"/>
      <c r="R15" s="202"/>
      <c r="S15" s="202"/>
      <c r="T15" s="202"/>
      <c r="U15" s="202"/>
      <c r="V15" s="202"/>
    </row>
    <row r="16" spans="2:22" ht="18" customHeight="1">
      <c r="B16" s="221">
        <v>7</v>
      </c>
      <c r="C16" s="222" t="s">
        <v>140</v>
      </c>
      <c r="D16" s="229">
        <f>'PERKOMODITI 2024'!C620</f>
        <v>0</v>
      </c>
      <c r="E16" s="229">
        <f>'PERKOMODITI 2024'!D620</f>
        <v>0</v>
      </c>
      <c r="F16" s="229">
        <f>'PERKOMODITI 2024'!E620</f>
        <v>1</v>
      </c>
      <c r="G16" s="230">
        <f t="shared" si="1"/>
        <v>1</v>
      </c>
      <c r="H16" s="231">
        <f t="shared" si="0"/>
        <v>0</v>
      </c>
      <c r="I16" s="275">
        <f>'PERKOMODITI 2024'!H620</f>
        <v>0</v>
      </c>
      <c r="J16" s="271">
        <f>'PERKOMODITI 2024'!I616</f>
        <v>1</v>
      </c>
      <c r="K16" s="274" t="s">
        <v>141</v>
      </c>
      <c r="L16" s="573"/>
      <c r="M16" s="281"/>
      <c r="N16" s="202"/>
      <c r="O16" s="202"/>
      <c r="P16" s="573"/>
      <c r="Q16" s="278"/>
      <c r="R16" s="202"/>
      <c r="S16" s="202"/>
      <c r="T16" s="574"/>
      <c r="U16" s="202"/>
      <c r="V16" s="202"/>
    </row>
    <row r="17" spans="2:22" ht="18" customHeight="1">
      <c r="B17" s="221">
        <v>8</v>
      </c>
      <c r="C17" s="222" t="s">
        <v>142</v>
      </c>
      <c r="D17" s="229" t="s">
        <v>20</v>
      </c>
      <c r="E17" s="229" t="s">
        <v>20</v>
      </c>
      <c r="F17" s="229" t="s">
        <v>20</v>
      </c>
      <c r="G17" s="230">
        <v>0</v>
      </c>
      <c r="H17" s="231" t="s">
        <v>20</v>
      </c>
      <c r="I17" s="224" t="s">
        <v>20</v>
      </c>
      <c r="J17" s="277" t="s">
        <v>20</v>
      </c>
      <c r="K17" s="274" t="s">
        <v>136</v>
      </c>
      <c r="L17" s="202"/>
      <c r="M17" s="570"/>
      <c r="N17" s="202"/>
      <c r="O17" s="202"/>
      <c r="P17" s="202"/>
      <c r="Q17" s="202"/>
      <c r="R17" s="202"/>
      <c r="S17" s="202"/>
      <c r="T17" s="202"/>
      <c r="U17" s="202"/>
      <c r="V17" s="202"/>
    </row>
    <row r="18" spans="2:22" s="202" customFormat="1" ht="18" customHeight="1">
      <c r="B18" s="221">
        <v>9</v>
      </c>
      <c r="C18" s="222" t="s">
        <v>143</v>
      </c>
      <c r="D18" s="229">
        <f>'PERKOMODITI 2024'!C454</f>
        <v>5</v>
      </c>
      <c r="E18" s="229">
        <f>'PERKOMODITI 2024'!D454</f>
        <v>0</v>
      </c>
      <c r="F18" s="229">
        <f>'PERKOMODITI 2024'!E461</f>
        <v>0</v>
      </c>
      <c r="G18" s="230">
        <f>D18</f>
        <v>5</v>
      </c>
      <c r="H18" s="231">
        <f>I18/1000*E18</f>
        <v>0</v>
      </c>
      <c r="I18" s="224">
        <f>'PERKOMODITI 2024'!H461</f>
        <v>500</v>
      </c>
      <c r="J18" s="277">
        <f>'PERKOMODITI 2024'!I461</f>
        <v>14</v>
      </c>
      <c r="K18" s="274" t="s">
        <v>144</v>
      </c>
      <c r="L18" s="278"/>
      <c r="M18" s="281"/>
      <c r="R18" s="295"/>
    </row>
    <row r="19" spans="2:22" ht="18" customHeight="1">
      <c r="B19" s="221">
        <v>10</v>
      </c>
      <c r="C19" s="232" t="s">
        <v>145</v>
      </c>
      <c r="D19" s="233" t="s">
        <v>20</v>
      </c>
      <c r="E19" s="233" t="s">
        <v>20</v>
      </c>
      <c r="F19" s="233" t="s">
        <v>20</v>
      </c>
      <c r="G19" s="230">
        <v>0</v>
      </c>
      <c r="H19" s="234" t="s">
        <v>20</v>
      </c>
      <c r="I19" s="279" t="s">
        <v>20</v>
      </c>
      <c r="J19" s="280" t="s">
        <v>20</v>
      </c>
      <c r="K19" s="274" t="s">
        <v>146</v>
      </c>
      <c r="L19" s="202"/>
      <c r="M19" s="570"/>
      <c r="N19" s="202"/>
      <c r="O19" s="202"/>
      <c r="P19" s="202"/>
      <c r="Q19" s="202"/>
      <c r="R19" s="202"/>
      <c r="S19" s="202"/>
      <c r="T19" s="202"/>
      <c r="U19" s="202"/>
      <c r="V19" s="202"/>
    </row>
    <row r="20" spans="2:22" ht="18" customHeight="1">
      <c r="B20" s="221">
        <v>11</v>
      </c>
      <c r="C20" s="222" t="s">
        <v>147</v>
      </c>
      <c r="D20" s="235">
        <f>'PERKOMODITI 2024'!C544</f>
        <v>18</v>
      </c>
      <c r="E20" s="235">
        <f>'PERKOMODITI 2024'!D544</f>
        <v>53</v>
      </c>
      <c r="F20" s="235">
        <f>'PERKOMODITI 2024'!E544</f>
        <v>19</v>
      </c>
      <c r="G20" s="230">
        <f t="shared" si="1"/>
        <v>90</v>
      </c>
      <c r="H20" s="231">
        <f t="shared" ref="H20:H25" si="2">I20/1000*E20</f>
        <v>15.899999999999999</v>
      </c>
      <c r="I20" s="224">
        <f>'PERKOMODITI 2024'!H544</f>
        <v>300</v>
      </c>
      <c r="J20" s="271">
        <f>'PERKOMODITI 2024'!I544</f>
        <v>91</v>
      </c>
      <c r="K20" s="274" t="s">
        <v>136</v>
      </c>
      <c r="L20" s="202"/>
      <c r="M20" s="281"/>
      <c r="N20" s="202"/>
      <c r="O20" s="202"/>
      <c r="P20" s="202"/>
      <c r="Q20" s="202"/>
      <c r="R20" s="202"/>
      <c r="S20" s="202"/>
      <c r="T20" s="202"/>
      <c r="U20" s="202"/>
      <c r="V20" s="202"/>
    </row>
    <row r="21" spans="2:22" ht="18" customHeight="1">
      <c r="B21" s="221">
        <v>12</v>
      </c>
      <c r="C21" s="222" t="s">
        <v>148</v>
      </c>
      <c r="D21" s="235">
        <f>'PERKOMODITI 2024'!C151</f>
        <v>116.4</v>
      </c>
      <c r="E21" s="235">
        <f>'PERKOMODITI 2024'!D151</f>
        <v>300</v>
      </c>
      <c r="F21" s="235">
        <f>'PERKOMODITI 2024'!E151</f>
        <v>224.4</v>
      </c>
      <c r="G21" s="230">
        <f t="shared" si="1"/>
        <v>640.79999999999995</v>
      </c>
      <c r="H21" s="231">
        <f t="shared" si="2"/>
        <v>120</v>
      </c>
      <c r="I21" s="224">
        <f>'PERKOMODITI 2024'!H151</f>
        <v>400</v>
      </c>
      <c r="J21" s="271">
        <f>'PERKOMODITI 2024'!I151</f>
        <v>1211</v>
      </c>
      <c r="K21" s="274" t="s">
        <v>136</v>
      </c>
      <c r="L21" s="278"/>
      <c r="M21" s="281"/>
      <c r="N21" s="202"/>
      <c r="O21" s="202"/>
      <c r="P21" s="278"/>
      <c r="Q21" s="574"/>
      <c r="R21" s="295"/>
      <c r="S21" s="202"/>
      <c r="T21" s="202"/>
      <c r="U21" s="202"/>
      <c r="V21" s="202"/>
    </row>
    <row r="22" spans="2:22" ht="18" customHeight="1">
      <c r="B22" s="221">
        <v>13</v>
      </c>
      <c r="C22" s="222" t="s">
        <v>149</v>
      </c>
      <c r="D22" s="229">
        <f>'PERKOMODITI 2024'!C424</f>
        <v>3</v>
      </c>
      <c r="E22" s="235">
        <f>'PERKOMODITI 2024'!D424</f>
        <v>1</v>
      </c>
      <c r="F22" s="235">
        <f>'PERKOMODITI 2024'!E424</f>
        <v>22</v>
      </c>
      <c r="G22" s="230">
        <f t="shared" si="1"/>
        <v>26</v>
      </c>
      <c r="H22" s="231">
        <f t="shared" si="2"/>
        <v>0.21</v>
      </c>
      <c r="I22" s="224">
        <f>'PERKOMODITI 2024'!H424</f>
        <v>210</v>
      </c>
      <c r="J22" s="271">
        <f>'PERKOMODITI 2024'!I424</f>
        <v>104</v>
      </c>
      <c r="K22" s="274" t="s">
        <v>150</v>
      </c>
      <c r="L22" s="202"/>
      <c r="M22" s="281"/>
      <c r="N22" s="202"/>
      <c r="O22" s="202"/>
      <c r="P22" s="202"/>
      <c r="Q22" s="202"/>
      <c r="R22" s="202"/>
      <c r="S22" s="202"/>
      <c r="T22" s="202"/>
      <c r="U22" s="202"/>
      <c r="V22" s="202"/>
    </row>
    <row r="23" spans="2:22" ht="18" customHeight="1">
      <c r="B23" s="221">
        <v>14</v>
      </c>
      <c r="C23" s="222" t="s">
        <v>151</v>
      </c>
      <c r="D23" s="229">
        <f>'PERKOMODITI 2024'!C581</f>
        <v>0</v>
      </c>
      <c r="E23" s="235">
        <f>'PERKOMODITI 2024'!D581</f>
        <v>0</v>
      </c>
      <c r="F23" s="235">
        <f>'PERKOMODITI 2024'!E581</f>
        <v>12</v>
      </c>
      <c r="G23" s="230">
        <f t="shared" si="1"/>
        <v>12</v>
      </c>
      <c r="H23" s="231">
        <f t="shared" si="2"/>
        <v>0</v>
      </c>
      <c r="I23" s="224">
        <f>'PERKOMODITI 2024'!H581</f>
        <v>604</v>
      </c>
      <c r="J23" s="271">
        <f>'PERKOMODITI 2024'!I581</f>
        <v>108</v>
      </c>
      <c r="K23" s="274" t="s">
        <v>136</v>
      </c>
      <c r="L23" s="278"/>
      <c r="M23" s="281"/>
      <c r="N23" s="202"/>
      <c r="O23" s="202"/>
      <c r="P23" s="278"/>
      <c r="Q23" s="202"/>
      <c r="R23" s="202"/>
      <c r="S23" s="202"/>
      <c r="T23" s="202"/>
      <c r="U23" s="202"/>
      <c r="V23" s="202"/>
    </row>
    <row r="24" spans="2:22" ht="18" customHeight="1">
      <c r="B24" s="221">
        <v>15</v>
      </c>
      <c r="C24" s="222" t="s">
        <v>152</v>
      </c>
      <c r="D24" s="235">
        <f>'PERKOMODITI 2024'!C245</f>
        <v>96</v>
      </c>
      <c r="E24" s="235">
        <f>'PERKOMODITI 2024'!D245</f>
        <v>145</v>
      </c>
      <c r="F24" s="235">
        <f>'PERKOMODITI 2024'!E245</f>
        <v>44.8</v>
      </c>
      <c r="G24" s="230">
        <f t="shared" si="1"/>
        <v>285.8</v>
      </c>
      <c r="H24" s="231">
        <f t="shared" si="2"/>
        <v>54.23</v>
      </c>
      <c r="I24" s="224">
        <f>'PERKOMODITI 2024'!H245</f>
        <v>374</v>
      </c>
      <c r="J24" s="271">
        <f>'PERKOMODITI 2024'!I245</f>
        <v>827</v>
      </c>
      <c r="K24" s="274" t="s">
        <v>153</v>
      </c>
      <c r="L24" s="202"/>
      <c r="M24" s="281"/>
      <c r="N24" s="202"/>
      <c r="O24" s="202"/>
      <c r="P24" s="202"/>
      <c r="Q24" s="574"/>
      <c r="R24" s="295"/>
      <c r="S24" s="202"/>
      <c r="T24" s="202"/>
      <c r="U24" s="202"/>
      <c r="V24" s="202"/>
    </row>
    <row r="25" spans="2:22" ht="18" customHeight="1">
      <c r="B25" s="221">
        <v>16</v>
      </c>
      <c r="C25" s="222" t="s">
        <v>154</v>
      </c>
      <c r="D25" s="235">
        <f>'PERKOMODITI 2024'!C336</f>
        <v>16</v>
      </c>
      <c r="E25" s="235">
        <f>'PERKOMODITI 2024'!D336</f>
        <v>19</v>
      </c>
      <c r="F25" s="235">
        <f>'PERKOMODITI 2024'!E336</f>
        <v>33.299999999999997</v>
      </c>
      <c r="G25" s="230">
        <f t="shared" si="1"/>
        <v>68.3</v>
      </c>
      <c r="H25" s="231">
        <f t="shared" si="2"/>
        <v>2.8689999999999998</v>
      </c>
      <c r="I25" s="224">
        <f>'PERKOMODITI 2024'!H336</f>
        <v>151</v>
      </c>
      <c r="J25" s="271">
        <f>'PERKOMODITI 2024'!I336</f>
        <v>215</v>
      </c>
      <c r="K25" s="274" t="s">
        <v>155</v>
      </c>
      <c r="L25" s="202"/>
      <c r="M25" s="281"/>
      <c r="N25" s="202"/>
      <c r="O25" s="202"/>
      <c r="P25" s="202"/>
      <c r="Q25" s="574"/>
      <c r="R25" s="202"/>
      <c r="S25" s="202"/>
      <c r="T25" s="202"/>
      <c r="U25" s="202"/>
      <c r="V25" s="202"/>
    </row>
    <row r="26" spans="2:22" ht="18" customHeight="1">
      <c r="B26" s="221">
        <v>17</v>
      </c>
      <c r="C26" s="222" t="s">
        <v>156</v>
      </c>
      <c r="D26" s="233" t="s">
        <v>20</v>
      </c>
      <c r="E26" s="233" t="s">
        <v>20</v>
      </c>
      <c r="F26" s="233" t="s">
        <v>20</v>
      </c>
      <c r="G26" s="230">
        <v>0</v>
      </c>
      <c r="H26" s="234" t="s">
        <v>20</v>
      </c>
      <c r="I26" s="279" t="s">
        <v>20</v>
      </c>
      <c r="J26" s="280" t="s">
        <v>20</v>
      </c>
      <c r="K26" s="274" t="s">
        <v>157</v>
      </c>
      <c r="L26" s="202"/>
      <c r="M26" s="570"/>
      <c r="N26" s="202"/>
      <c r="O26" s="202"/>
      <c r="P26" s="202"/>
      <c r="Q26" s="202"/>
      <c r="R26" s="202"/>
      <c r="S26" s="202"/>
      <c r="T26" s="202"/>
      <c r="U26" s="202"/>
      <c r="V26" s="202"/>
    </row>
    <row r="27" spans="2:22" ht="18" customHeight="1">
      <c r="B27" s="221">
        <v>18</v>
      </c>
      <c r="C27" s="222" t="s">
        <v>158</v>
      </c>
      <c r="D27" s="233" t="s">
        <v>20</v>
      </c>
      <c r="E27" s="233" t="s">
        <v>20</v>
      </c>
      <c r="F27" s="233" t="s">
        <v>20</v>
      </c>
      <c r="G27" s="230">
        <v>0</v>
      </c>
      <c r="H27" s="234" t="s">
        <v>20</v>
      </c>
      <c r="I27" s="279" t="s">
        <v>20</v>
      </c>
      <c r="J27" s="280" t="s">
        <v>20</v>
      </c>
      <c r="K27" s="274" t="s">
        <v>159</v>
      </c>
      <c r="L27" s="202"/>
      <c r="M27" s="281"/>
      <c r="N27" s="202"/>
      <c r="O27" s="202"/>
      <c r="P27" s="202"/>
      <c r="Q27" s="202"/>
      <c r="R27" s="202"/>
      <c r="S27" s="202"/>
      <c r="T27" s="202"/>
      <c r="U27" s="202"/>
      <c r="V27" s="202"/>
    </row>
    <row r="28" spans="2:22" ht="18" customHeight="1">
      <c r="B28" s="221">
        <v>19</v>
      </c>
      <c r="C28" s="222" t="s">
        <v>160</v>
      </c>
      <c r="D28" s="235">
        <f>'PERKOMODITI 2024'!C291</f>
        <v>6</v>
      </c>
      <c r="E28" s="235">
        <f>'PERKOMODITI 2024'!D291</f>
        <v>0</v>
      </c>
      <c r="F28" s="233">
        <f>'PERKOMODITI 2024'!E291</f>
        <v>0</v>
      </c>
      <c r="G28" s="230">
        <f>D28</f>
        <v>6</v>
      </c>
      <c r="H28" s="231">
        <f>I28/1000*E28</f>
        <v>0</v>
      </c>
      <c r="I28" s="224">
        <f>'PERKOMODITI 2024'!H291</f>
        <v>0</v>
      </c>
      <c r="J28" s="271">
        <f>'PERKOMODITI 2024'!I291</f>
        <v>8</v>
      </c>
      <c r="K28" s="274" t="s">
        <v>161</v>
      </c>
      <c r="L28" s="278"/>
      <c r="M28" s="281"/>
      <c r="N28" s="202"/>
      <c r="O28" s="202"/>
      <c r="P28" s="278"/>
      <c r="Q28" s="202"/>
      <c r="R28" s="295"/>
      <c r="S28" s="574"/>
      <c r="T28" s="202"/>
      <c r="U28" s="202"/>
      <c r="V28" s="202"/>
    </row>
    <row r="29" spans="2:22" ht="18" customHeight="1">
      <c r="B29" s="221">
        <v>20</v>
      </c>
      <c r="C29" s="222" t="s">
        <v>162</v>
      </c>
      <c r="D29" s="235">
        <f>'PERKOMODITI 2024'!C655</f>
        <v>3</v>
      </c>
      <c r="E29" s="235">
        <f>'PERKOMODITI 2024'!D655</f>
        <v>0</v>
      </c>
      <c r="F29" s="233">
        <f>'PERKOMODITI 2024'!E655</f>
        <v>0</v>
      </c>
      <c r="G29" s="230">
        <f>D29</f>
        <v>3</v>
      </c>
      <c r="H29" s="231">
        <f>I29/1000*E29</f>
        <v>0</v>
      </c>
      <c r="I29" s="224">
        <f>'PERKOMODITI 2024'!H655</f>
        <v>0</v>
      </c>
      <c r="J29" s="271">
        <f>'PERKOMODITI 2024'!I655</f>
        <v>7</v>
      </c>
      <c r="K29" s="282" t="s">
        <v>161</v>
      </c>
      <c r="L29" s="573"/>
      <c r="M29" s="281"/>
      <c r="N29" s="202"/>
      <c r="O29" s="202"/>
      <c r="P29" s="278"/>
      <c r="Q29" s="202"/>
      <c r="R29" s="295"/>
      <c r="S29" s="202"/>
      <c r="T29" s="202"/>
      <c r="U29" s="202"/>
      <c r="V29" s="202"/>
    </row>
    <row r="30" spans="2:22" ht="18" customHeight="1">
      <c r="B30" s="236">
        <v>21</v>
      </c>
      <c r="C30" s="237" t="s">
        <v>163</v>
      </c>
      <c r="D30" s="238" t="s">
        <v>20</v>
      </c>
      <c r="E30" s="238" t="s">
        <v>20</v>
      </c>
      <c r="F30" s="238" t="s">
        <v>20</v>
      </c>
      <c r="G30" s="230">
        <v>0</v>
      </c>
      <c r="H30" s="239" t="s">
        <v>20</v>
      </c>
      <c r="I30" s="283" t="s">
        <v>20</v>
      </c>
      <c r="J30" s="284" t="s">
        <v>20</v>
      </c>
      <c r="K30" s="285" t="s">
        <v>136</v>
      </c>
      <c r="L30" s="202"/>
      <c r="M30" s="570"/>
      <c r="N30" s="202"/>
      <c r="O30" s="202"/>
      <c r="P30" s="278"/>
      <c r="Q30" s="295"/>
      <c r="R30" s="295"/>
      <c r="S30" s="202"/>
      <c r="T30" s="295"/>
      <c r="U30" s="202"/>
      <c r="V30" s="202"/>
    </row>
    <row r="31" spans="2:22" ht="15" customHeight="1">
      <c r="B31" s="240"/>
      <c r="C31" s="241" t="s">
        <v>77</v>
      </c>
      <c r="D31" s="242">
        <f>SUM(D10:D30)</f>
        <v>7811.4</v>
      </c>
      <c r="E31" s="242">
        <f t="shared" ref="E31:H31" si="3">SUM(E10:E30)</f>
        <v>26956.3</v>
      </c>
      <c r="F31" s="242">
        <f t="shared" si="3"/>
        <v>6694.2</v>
      </c>
      <c r="G31" s="242">
        <f t="shared" si="3"/>
        <v>41461.900000000009</v>
      </c>
      <c r="H31" s="243">
        <f t="shared" si="3"/>
        <v>84044.714000000007</v>
      </c>
      <c r="I31" s="242">
        <f>H31/E31*1000</f>
        <v>3117.8134239491328</v>
      </c>
      <c r="J31" s="242">
        <f t="shared" ref="J31" si="4">SUM(J10:J30)</f>
        <v>26301</v>
      </c>
      <c r="K31" s="286"/>
      <c r="L31" s="572"/>
      <c r="M31" s="281"/>
      <c r="N31" s="281"/>
      <c r="O31" s="281"/>
      <c r="P31" s="278"/>
      <c r="Q31" s="202"/>
      <c r="R31" s="202"/>
      <c r="S31" s="202"/>
      <c r="T31" s="202"/>
      <c r="U31" s="202"/>
      <c r="V31" s="202"/>
    </row>
    <row r="32" spans="2:22" s="590" customFormat="1" ht="15" customHeight="1">
      <c r="B32" s="616"/>
      <c r="C32" s="617">
        <v>2023</v>
      </c>
      <c r="D32" s="618">
        <v>7780</v>
      </c>
      <c r="E32" s="618">
        <v>26890</v>
      </c>
      <c r="F32" s="618">
        <v>6789</v>
      </c>
      <c r="G32" s="618">
        <v>41459</v>
      </c>
      <c r="H32" s="619">
        <v>83669.69</v>
      </c>
      <c r="I32" s="618">
        <v>3112</v>
      </c>
      <c r="J32" s="618">
        <v>26309</v>
      </c>
      <c r="K32" s="620"/>
      <c r="L32" s="592"/>
      <c r="M32" s="621"/>
      <c r="N32" s="621"/>
      <c r="O32" s="621"/>
      <c r="P32" s="622"/>
      <c r="Q32" s="586"/>
      <c r="R32" s="586"/>
      <c r="S32" s="586"/>
      <c r="T32" s="586"/>
      <c r="U32" s="586"/>
      <c r="V32" s="586"/>
    </row>
    <row r="33" spans="2:22" s="590" customFormat="1" ht="12.75" customHeight="1">
      <c r="B33" s="616"/>
      <c r="C33" s="617">
        <v>2022</v>
      </c>
      <c r="D33" s="618">
        <v>7500</v>
      </c>
      <c r="E33" s="618">
        <v>26574.6</v>
      </c>
      <c r="F33" s="618">
        <v>7195.4</v>
      </c>
      <c r="G33" s="618">
        <v>41457.4</v>
      </c>
      <c r="H33" s="619">
        <v>83019.474000000002</v>
      </c>
      <c r="I33" s="618">
        <v>3101.2130000000002</v>
      </c>
      <c r="J33" s="618">
        <v>26309</v>
      </c>
      <c r="K33" s="620"/>
      <c r="L33" s="592"/>
      <c r="M33" s="621"/>
      <c r="N33" s="621"/>
      <c r="O33" s="621"/>
      <c r="P33" s="622"/>
      <c r="Q33" s="586"/>
      <c r="R33" s="586"/>
      <c r="S33" s="586"/>
      <c r="T33" s="586"/>
      <c r="U33" s="586"/>
      <c r="V33" s="586"/>
    </row>
    <row r="34" spans="2:22" ht="15" customHeight="1">
      <c r="B34" s="244"/>
      <c r="C34" s="245">
        <v>2021</v>
      </c>
      <c r="D34" s="246">
        <v>7766</v>
      </c>
      <c r="E34" s="246">
        <v>26575</v>
      </c>
      <c r="F34" s="246">
        <v>7139</v>
      </c>
      <c r="G34" s="246">
        <v>41464</v>
      </c>
      <c r="H34" s="247">
        <v>82273</v>
      </c>
      <c r="I34" s="246">
        <v>3096</v>
      </c>
      <c r="J34" s="246">
        <v>26340</v>
      </c>
      <c r="K34" s="288"/>
      <c r="L34" s="572"/>
      <c r="M34" s="281"/>
      <c r="N34" s="281"/>
      <c r="O34" s="281"/>
      <c r="P34" s="278"/>
      <c r="Q34" s="202"/>
      <c r="R34" s="202"/>
      <c r="S34" s="202"/>
      <c r="T34" s="202"/>
      <c r="U34" s="575"/>
      <c r="V34" s="202"/>
    </row>
    <row r="35" spans="2:22" ht="15" customHeight="1">
      <c r="B35" s="248"/>
      <c r="C35" s="249">
        <v>2020</v>
      </c>
      <c r="D35" s="250">
        <v>7708</v>
      </c>
      <c r="E35" s="250">
        <v>26408</v>
      </c>
      <c r="F35" s="250">
        <v>7385</v>
      </c>
      <c r="G35" s="250">
        <v>41490</v>
      </c>
      <c r="H35" s="251">
        <v>81642.33</v>
      </c>
      <c r="I35" s="250">
        <v>3092</v>
      </c>
      <c r="J35" s="250">
        <v>26352</v>
      </c>
      <c r="K35" s="289"/>
      <c r="L35" s="572"/>
      <c r="M35" s="281"/>
      <c r="N35" s="295"/>
      <c r="O35" s="295"/>
      <c r="P35" s="278"/>
      <c r="Q35" s="202"/>
      <c r="R35" s="202"/>
      <c r="S35" s="202"/>
      <c r="T35" s="202"/>
      <c r="U35" s="202"/>
      <c r="V35" s="202"/>
    </row>
    <row r="36" spans="2:22" ht="12.75" customHeight="1">
      <c r="B36" s="252"/>
      <c r="C36" s="253">
        <v>2019</v>
      </c>
      <c r="D36" s="254">
        <v>6995</v>
      </c>
      <c r="E36" s="254">
        <v>26412</v>
      </c>
      <c r="F36" s="254">
        <v>8156</v>
      </c>
      <c r="G36" s="255">
        <v>41555</v>
      </c>
      <c r="H36" s="256">
        <v>81667</v>
      </c>
      <c r="I36" s="255">
        <v>3092</v>
      </c>
      <c r="J36" s="255">
        <v>26394</v>
      </c>
      <c r="K36" s="291"/>
      <c r="L36" s="572"/>
      <c r="M36" s="576"/>
      <c r="N36" s="278"/>
      <c r="O36" s="577"/>
      <c r="P36" s="278"/>
      <c r="Q36" s="572"/>
      <c r="R36" s="202"/>
      <c r="S36" s="202"/>
      <c r="T36" s="202"/>
      <c r="U36" s="202"/>
      <c r="V36" s="202"/>
    </row>
    <row r="37" spans="2:22" ht="13.5" customHeight="1">
      <c r="B37" s="257"/>
      <c r="C37" s="258">
        <v>2018</v>
      </c>
      <c r="D37" s="259">
        <v>7000</v>
      </c>
      <c r="E37" s="259">
        <v>26407</v>
      </c>
      <c r="F37" s="259">
        <v>8176</v>
      </c>
      <c r="G37" s="260">
        <v>41564</v>
      </c>
      <c r="H37" s="261">
        <v>81688</v>
      </c>
      <c r="I37" s="260">
        <v>3093</v>
      </c>
      <c r="J37" s="260">
        <v>26401</v>
      </c>
      <c r="K37" s="293"/>
      <c r="L37" s="202"/>
      <c r="M37" s="578"/>
      <c r="N37" s="575"/>
      <c r="O37" s="579"/>
      <c r="P37" s="202"/>
      <c r="Q37" s="202"/>
      <c r="R37" s="202"/>
      <c r="S37" s="202"/>
      <c r="T37" s="202"/>
      <c r="U37" s="202"/>
      <c r="V37" s="202"/>
    </row>
    <row r="38" spans="2:22">
      <c r="B38" s="252"/>
      <c r="C38" s="253">
        <v>2017</v>
      </c>
      <c r="D38" s="259">
        <v>7000</v>
      </c>
      <c r="E38" s="254">
        <v>26439</v>
      </c>
      <c r="F38" s="254">
        <v>8374</v>
      </c>
      <c r="G38" s="255">
        <v>41649</v>
      </c>
      <c r="H38" s="256">
        <v>81648</v>
      </c>
      <c r="I38" s="255">
        <v>3088</v>
      </c>
      <c r="J38" s="255">
        <v>26916</v>
      </c>
      <c r="K38" s="291"/>
      <c r="L38" s="202"/>
      <c r="M38" s="570"/>
      <c r="N38" s="575"/>
      <c r="O38" s="572"/>
      <c r="P38" s="202"/>
      <c r="Q38" s="202"/>
      <c r="R38" s="202"/>
      <c r="S38" s="202"/>
      <c r="T38" s="202"/>
      <c r="U38" s="202"/>
      <c r="V38" s="202"/>
    </row>
    <row r="39" spans="2:22" s="590" customFormat="1">
      <c r="B39" s="580"/>
      <c r="C39" s="581">
        <v>2016</v>
      </c>
      <c r="D39" s="582">
        <v>7000</v>
      </c>
      <c r="E39" s="583">
        <v>29357</v>
      </c>
      <c r="F39" s="583">
        <v>7805</v>
      </c>
      <c r="G39" s="583">
        <v>45248</v>
      </c>
      <c r="H39" s="584">
        <v>81432</v>
      </c>
      <c r="I39" s="583">
        <v>2774</v>
      </c>
      <c r="J39" s="583">
        <v>28240</v>
      </c>
      <c r="K39" s="585"/>
      <c r="L39" s="586"/>
      <c r="M39" s="587"/>
      <c r="N39" s="586"/>
      <c r="O39" s="588"/>
      <c r="P39" s="589"/>
      <c r="Q39" s="586"/>
      <c r="R39" s="586"/>
      <c r="S39" s="586"/>
      <c r="T39" s="586"/>
      <c r="U39" s="586"/>
      <c r="V39" s="586"/>
    </row>
    <row r="40" spans="2:22" s="590" customFormat="1">
      <c r="B40" s="580"/>
      <c r="C40" s="581">
        <v>2015</v>
      </c>
      <c r="D40" s="582">
        <v>7000</v>
      </c>
      <c r="E40" s="583">
        <v>31596</v>
      </c>
      <c r="F40" s="583">
        <v>5062</v>
      </c>
      <c r="G40" s="583">
        <v>44495</v>
      </c>
      <c r="H40" s="584">
        <v>84381</v>
      </c>
      <c r="I40" s="583">
        <v>2671</v>
      </c>
      <c r="J40" s="583">
        <v>27932</v>
      </c>
      <c r="K40" s="585"/>
      <c r="L40" s="586"/>
      <c r="M40" s="591"/>
      <c r="N40" s="586"/>
      <c r="O40" s="592"/>
      <c r="P40" s="593"/>
      <c r="Q40" s="586"/>
      <c r="R40" s="586"/>
      <c r="S40" s="586"/>
      <c r="T40" s="592"/>
      <c r="U40" s="586"/>
      <c r="V40" s="586"/>
    </row>
    <row r="41" spans="2:22" s="590" customFormat="1">
      <c r="B41" s="580"/>
      <c r="C41" s="581">
        <v>2014</v>
      </c>
      <c r="D41" s="582">
        <v>7000</v>
      </c>
      <c r="E41" s="583">
        <v>31460</v>
      </c>
      <c r="F41" s="583">
        <v>3764</v>
      </c>
      <c r="G41" s="583">
        <v>44551</v>
      </c>
      <c r="H41" s="584">
        <v>82833</v>
      </c>
      <c r="I41" s="583">
        <v>2633</v>
      </c>
      <c r="J41" s="583">
        <v>28175</v>
      </c>
      <c r="K41" s="585"/>
      <c r="L41" s="586"/>
      <c r="M41" s="594"/>
      <c r="N41" s="588"/>
      <c r="O41" s="592"/>
      <c r="P41" s="588"/>
      <c r="Q41" s="588"/>
      <c r="R41" s="586"/>
      <c r="S41" s="586"/>
      <c r="T41" s="586"/>
      <c r="U41" s="586"/>
      <c r="V41" s="586"/>
    </row>
    <row r="42" spans="2:22" s="590" customFormat="1">
      <c r="B42" s="580"/>
      <c r="C42" s="581">
        <v>2013</v>
      </c>
      <c r="D42" s="582">
        <v>7000</v>
      </c>
      <c r="E42" s="583">
        <v>23706</v>
      </c>
      <c r="F42" s="583">
        <v>2469</v>
      </c>
      <c r="G42" s="583">
        <v>33173</v>
      </c>
      <c r="H42" s="584">
        <v>59782</v>
      </c>
      <c r="I42" s="583">
        <v>2522</v>
      </c>
      <c r="J42" s="583">
        <v>25077</v>
      </c>
      <c r="K42" s="585"/>
      <c r="M42" s="595"/>
      <c r="N42" s="596"/>
      <c r="O42" s="596"/>
      <c r="P42" s="596"/>
      <c r="Q42" s="596"/>
    </row>
    <row r="43" spans="2:22" s="590" customFormat="1">
      <c r="B43" s="580"/>
      <c r="C43" s="581">
        <v>2012</v>
      </c>
      <c r="D43" s="582">
        <v>7000</v>
      </c>
      <c r="E43" s="583">
        <v>23021</v>
      </c>
      <c r="F43" s="583">
        <v>2527</v>
      </c>
      <c r="G43" s="583">
        <v>32117</v>
      </c>
      <c r="H43" s="584">
        <v>69867</v>
      </c>
      <c r="I43" s="583">
        <v>3035</v>
      </c>
      <c r="J43" s="583">
        <v>24774</v>
      </c>
      <c r="K43" s="585"/>
      <c r="M43" s="597"/>
      <c r="N43" s="598"/>
      <c r="O43" s="598"/>
    </row>
    <row r="44" spans="2:22" s="590" customFormat="1">
      <c r="B44" s="580"/>
      <c r="C44" s="581">
        <v>2011</v>
      </c>
      <c r="D44" s="582">
        <v>7000</v>
      </c>
      <c r="E44" s="583">
        <v>22624</v>
      </c>
      <c r="F44" s="583">
        <v>2720</v>
      </c>
      <c r="G44" s="583">
        <v>31888</v>
      </c>
      <c r="H44" s="584">
        <v>53921</v>
      </c>
      <c r="I44" s="583">
        <v>2383</v>
      </c>
      <c r="J44" s="583">
        <v>24395</v>
      </c>
      <c r="K44" s="585"/>
      <c r="M44" s="599"/>
      <c r="N44" s="599"/>
      <c r="O44" s="598"/>
    </row>
    <row r="45" spans="2:22" s="590" customFormat="1">
      <c r="B45" s="580"/>
      <c r="C45" s="581">
        <v>2010</v>
      </c>
      <c r="D45" s="582">
        <v>7000</v>
      </c>
      <c r="E45" s="583">
        <v>21901</v>
      </c>
      <c r="F45" s="583">
        <v>2706</v>
      </c>
      <c r="G45" s="583">
        <v>31406</v>
      </c>
      <c r="H45" s="584">
        <v>15875</v>
      </c>
      <c r="I45" s="583">
        <v>725</v>
      </c>
      <c r="J45" s="583">
        <v>23898</v>
      </c>
      <c r="K45" s="585"/>
      <c r="M45" s="600"/>
      <c r="N45" s="598"/>
      <c r="O45" s="598"/>
    </row>
    <row r="46" spans="2:22" s="590" customFormat="1">
      <c r="B46" s="580"/>
      <c r="C46" s="581">
        <v>2009</v>
      </c>
      <c r="D46" s="582">
        <v>7000</v>
      </c>
      <c r="E46" s="583">
        <v>21853</v>
      </c>
      <c r="F46" s="583">
        <v>2300</v>
      </c>
      <c r="G46" s="583">
        <v>30846</v>
      </c>
      <c r="H46" s="584">
        <v>50834</v>
      </c>
      <c r="I46" s="583">
        <v>2326</v>
      </c>
      <c r="J46" s="583">
        <v>23870</v>
      </c>
      <c r="K46" s="585"/>
      <c r="M46" s="601"/>
    </row>
    <row r="47" spans="2:22" s="590" customFormat="1">
      <c r="B47" s="602"/>
      <c r="C47" s="603">
        <v>2008</v>
      </c>
      <c r="D47" s="604">
        <v>7000</v>
      </c>
      <c r="E47" s="605">
        <v>15610</v>
      </c>
      <c r="F47" s="605">
        <v>2477</v>
      </c>
      <c r="G47" s="605">
        <v>25276</v>
      </c>
      <c r="H47" s="606">
        <v>23068</v>
      </c>
      <c r="I47" s="605">
        <v>1478</v>
      </c>
      <c r="J47" s="605">
        <v>22602</v>
      </c>
      <c r="K47" s="607"/>
      <c r="M47" s="601"/>
    </row>
    <row r="48" spans="2:22" ht="6.75" customHeight="1"/>
    <row r="49" spans="2:11" customFormat="1" ht="12" customHeight="1">
      <c r="B49" s="1"/>
      <c r="C49" s="173" t="s">
        <v>12</v>
      </c>
      <c r="D49" s="173" t="s">
        <v>164</v>
      </c>
      <c r="E49" s="173"/>
      <c r="F49" s="173"/>
      <c r="G49" s="1"/>
      <c r="H49" s="262"/>
      <c r="I49" s="58"/>
      <c r="J49" s="58"/>
      <c r="K49" s="58"/>
    </row>
    <row r="50" spans="2:11" customFormat="1" ht="12" customHeight="1">
      <c r="B50" s="1"/>
      <c r="C50" s="173" t="s">
        <v>13</v>
      </c>
      <c r="D50" s="173" t="s">
        <v>34</v>
      </c>
      <c r="E50" s="173"/>
      <c r="F50" s="173"/>
      <c r="G50" s="1"/>
      <c r="H50" s="262"/>
      <c r="I50" s="58"/>
      <c r="J50" s="58"/>
      <c r="K50" s="58"/>
    </row>
    <row r="51" spans="2:11" customFormat="1">
      <c r="B51" s="1"/>
      <c r="C51" s="173" t="s">
        <v>14</v>
      </c>
      <c r="D51" s="173" t="s">
        <v>35</v>
      </c>
      <c r="E51" s="173"/>
      <c r="F51" s="173"/>
      <c r="G51" s="1"/>
      <c r="H51" s="262"/>
      <c r="I51" s="58"/>
      <c r="J51" s="58"/>
      <c r="K51" s="58"/>
    </row>
    <row r="52" spans="2:11" customFormat="1" ht="3.75" customHeight="1">
      <c r="H52" s="203"/>
    </row>
    <row r="53" spans="2:11" customFormat="1" ht="12.75" customHeight="1">
      <c r="B53" s="638"/>
      <c r="C53" s="638"/>
      <c r="D53" s="638"/>
      <c r="E53" s="638"/>
      <c r="G53" s="263"/>
      <c r="H53" s="671" t="s">
        <v>314</v>
      </c>
      <c r="I53" s="671"/>
      <c r="J53" s="671"/>
      <c r="K53" s="671"/>
    </row>
    <row r="54" spans="2:11" customFormat="1" ht="10.5" customHeight="1">
      <c r="B54" s="638"/>
      <c r="C54" s="638"/>
      <c r="D54" s="638"/>
      <c r="E54" s="638"/>
      <c r="G54" s="263"/>
      <c r="H54" s="671" t="s">
        <v>166</v>
      </c>
      <c r="I54" s="671"/>
      <c r="J54" s="671"/>
      <c r="K54" s="671"/>
    </row>
    <row r="55" spans="2:11" customFormat="1" ht="9" customHeight="1">
      <c r="B55" s="638"/>
      <c r="C55" s="638"/>
      <c r="D55" s="638"/>
      <c r="E55" s="638"/>
      <c r="G55" s="263"/>
      <c r="H55" s="671"/>
      <c r="I55" s="671"/>
      <c r="J55" s="671"/>
      <c r="K55" s="671"/>
    </row>
    <row r="56" spans="2:11" customFormat="1" ht="9" customHeight="1">
      <c r="B56" s="45"/>
      <c r="C56" s="45"/>
      <c r="D56" s="45"/>
      <c r="E56" s="45"/>
      <c r="G56" s="45"/>
      <c r="H56" s="264"/>
      <c r="I56" s="294"/>
      <c r="J56" s="294"/>
      <c r="K56" s="294"/>
    </row>
    <row r="57" spans="2:11" customFormat="1" ht="16.5" customHeight="1">
      <c r="B57" s="45"/>
      <c r="C57" s="45"/>
      <c r="D57" s="45"/>
      <c r="E57" s="45"/>
      <c r="G57" s="45"/>
      <c r="H57" s="264"/>
      <c r="I57" s="294"/>
      <c r="J57" s="294"/>
      <c r="K57" s="294"/>
    </row>
    <row r="58" spans="2:11" customFormat="1" ht="26.25" customHeight="1">
      <c r="B58" s="653"/>
      <c r="C58" s="653"/>
      <c r="D58" s="653"/>
      <c r="E58" s="653"/>
      <c r="G58" s="265"/>
      <c r="H58" s="672" t="s">
        <v>315</v>
      </c>
      <c r="I58" s="672"/>
      <c r="J58" s="672"/>
      <c r="K58" s="672"/>
    </row>
    <row r="59" spans="2:11" customFormat="1" ht="12" customHeight="1">
      <c r="B59" s="650"/>
      <c r="C59" s="637"/>
      <c r="D59" s="637"/>
      <c r="E59" s="637"/>
      <c r="G59" s="266"/>
      <c r="H59" s="671" t="s">
        <v>316</v>
      </c>
      <c r="I59" s="671"/>
      <c r="J59" s="671"/>
      <c r="K59" s="671"/>
    </row>
  </sheetData>
  <mergeCells count="18">
    <mergeCell ref="B2:K2"/>
    <mergeCell ref="B3:K3"/>
    <mergeCell ref="B4:K4"/>
    <mergeCell ref="D6:F6"/>
    <mergeCell ref="M7:O7"/>
    <mergeCell ref="Q7:S7"/>
    <mergeCell ref="B53:E53"/>
    <mergeCell ref="H53:K53"/>
    <mergeCell ref="B54:E54"/>
    <mergeCell ref="H54:K54"/>
    <mergeCell ref="B6:B8"/>
    <mergeCell ref="C6:C8"/>
    <mergeCell ref="B55:E55"/>
    <mergeCell ref="H55:K55"/>
    <mergeCell ref="B58:E58"/>
    <mergeCell ref="H58:K58"/>
    <mergeCell ref="B59:E59"/>
    <mergeCell ref="H59:K59"/>
  </mergeCells>
  <pageMargins left="0.68110236199999996" right="0.70866141732283505" top="0.31496062992126" bottom="0.31496062992126" header="0.31496062992126" footer="0.31496062992126"/>
  <pageSetup paperSize="9" scale="85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3"/>
  <sheetViews>
    <sheetView topLeftCell="H17" zoomScale="120" zoomScaleNormal="120" workbookViewId="0">
      <selection activeCell="U41" sqref="U41:X42"/>
    </sheetView>
  </sheetViews>
  <sheetFormatPr defaultColWidth="7.28515625" defaultRowHeight="11.25"/>
  <cols>
    <col min="1" max="1" width="3.85546875" style="173" customWidth="1"/>
    <col min="2" max="2" width="10.140625" style="173" customWidth="1"/>
    <col min="3" max="3" width="6.5703125" style="173" customWidth="1"/>
    <col min="4" max="4" width="7.85546875" style="173" customWidth="1"/>
    <col min="5" max="5" width="6.5703125" style="173" customWidth="1"/>
    <col min="6" max="6" width="7.85546875" style="173" customWidth="1"/>
    <col min="7" max="7" width="6.7109375" style="173" customWidth="1"/>
    <col min="8" max="8" width="7.85546875" style="173" customWidth="1"/>
    <col min="9" max="9" width="6.5703125" style="173" customWidth="1"/>
    <col min="10" max="10" width="7.85546875" style="173" customWidth="1"/>
    <col min="11" max="11" width="6.42578125" style="173" customWidth="1"/>
    <col min="12" max="12" width="7.85546875" style="173" customWidth="1"/>
    <col min="13" max="13" width="6.42578125" style="173" customWidth="1"/>
    <col min="14" max="14" width="7.5703125" style="173" customWidth="1"/>
    <col min="15" max="15" width="6.140625" style="173" customWidth="1"/>
    <col min="16" max="16" width="7.7109375" style="173" customWidth="1"/>
    <col min="17" max="17" width="5.42578125" style="173" customWidth="1"/>
    <col min="18" max="18" width="8.28515625" style="174" customWidth="1"/>
    <col min="19" max="19" width="5.5703125" style="173" customWidth="1"/>
    <col min="20" max="20" width="8.42578125" style="173" customWidth="1"/>
    <col min="21" max="21" width="5.42578125" style="173" customWidth="1"/>
    <col min="22" max="22" width="8.28515625" style="173" customWidth="1"/>
    <col min="23" max="23" width="5.28515625" style="173" customWidth="1"/>
    <col min="24" max="24" width="8.42578125" style="173" customWidth="1"/>
    <col min="25" max="25" width="5.28515625" style="173" customWidth="1"/>
    <col min="26" max="26" width="8.28515625" style="173" customWidth="1"/>
    <col min="27" max="16384" width="7.28515625" style="173"/>
  </cols>
  <sheetData>
    <row r="2" spans="1:26" ht="12.75" customHeight="1">
      <c r="A2" s="687" t="s">
        <v>169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687"/>
      <c r="X2" s="687"/>
      <c r="Y2" s="687"/>
      <c r="Z2" s="687"/>
    </row>
    <row r="3" spans="1:26" ht="12.75" customHeight="1">
      <c r="A3" s="687" t="s">
        <v>311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687"/>
      <c r="X3" s="687"/>
      <c r="Y3" s="687"/>
      <c r="Z3" s="687"/>
    </row>
    <row r="4" spans="1:26" ht="12.75" customHeight="1">
      <c r="A4" s="688" t="s">
        <v>170</v>
      </c>
      <c r="B4" s="688"/>
      <c r="C4" s="688"/>
      <c r="D4" s="688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688"/>
      <c r="W4" s="688"/>
      <c r="X4" s="688"/>
      <c r="Y4" s="688"/>
      <c r="Z4" s="688"/>
    </row>
    <row r="6" spans="1:26">
      <c r="A6" s="175"/>
      <c r="B6" s="175"/>
      <c r="C6" s="176"/>
      <c r="D6" s="177"/>
      <c r="E6" s="177"/>
      <c r="F6" s="177"/>
      <c r="G6" s="177" t="s">
        <v>171</v>
      </c>
      <c r="H6" s="177"/>
      <c r="I6" s="177"/>
      <c r="J6" s="177"/>
      <c r="K6" s="177"/>
      <c r="L6" s="177"/>
      <c r="M6" s="177"/>
      <c r="N6" s="189"/>
      <c r="O6" s="177"/>
      <c r="P6" s="177"/>
      <c r="Q6" s="177"/>
      <c r="R6" s="196"/>
      <c r="S6" s="177" t="s">
        <v>172</v>
      </c>
      <c r="T6" s="177"/>
      <c r="U6" s="177"/>
      <c r="V6" s="177"/>
      <c r="W6" s="177"/>
      <c r="X6" s="177"/>
      <c r="Y6" s="177"/>
      <c r="Z6" s="189"/>
    </row>
    <row r="7" spans="1:26">
      <c r="A7" s="178" t="s">
        <v>118</v>
      </c>
      <c r="B7" s="178" t="s">
        <v>61</v>
      </c>
      <c r="C7" s="689" t="s">
        <v>173</v>
      </c>
      <c r="D7" s="690"/>
      <c r="E7" s="689" t="s">
        <v>174</v>
      </c>
      <c r="F7" s="690"/>
      <c r="G7" s="689" t="s">
        <v>175</v>
      </c>
      <c r="H7" s="690"/>
      <c r="I7" s="689" t="s">
        <v>176</v>
      </c>
      <c r="J7" s="690"/>
      <c r="K7" s="689" t="s">
        <v>177</v>
      </c>
      <c r="L7" s="690"/>
      <c r="M7" s="689" t="s">
        <v>178</v>
      </c>
      <c r="N7" s="690"/>
      <c r="O7" s="691" t="s">
        <v>179</v>
      </c>
      <c r="P7" s="692"/>
      <c r="Q7" s="689" t="s">
        <v>180</v>
      </c>
      <c r="R7" s="690"/>
      <c r="S7" s="689" t="s">
        <v>181</v>
      </c>
      <c r="T7" s="690"/>
      <c r="U7" s="689" t="s">
        <v>182</v>
      </c>
      <c r="V7" s="690"/>
      <c r="W7" s="689" t="s">
        <v>183</v>
      </c>
      <c r="X7" s="690"/>
      <c r="Y7" s="689" t="s">
        <v>184</v>
      </c>
      <c r="Z7" s="690"/>
    </row>
    <row r="8" spans="1:26">
      <c r="A8" s="178"/>
      <c r="B8" s="178"/>
      <c r="C8" s="175" t="s">
        <v>13</v>
      </c>
      <c r="D8" s="175" t="s">
        <v>185</v>
      </c>
      <c r="E8" s="175" t="s">
        <v>13</v>
      </c>
      <c r="F8" s="175" t="s">
        <v>185</v>
      </c>
      <c r="G8" s="175" t="s">
        <v>13</v>
      </c>
      <c r="H8" s="175" t="s">
        <v>185</v>
      </c>
      <c r="I8" s="175" t="s">
        <v>13</v>
      </c>
      <c r="J8" s="175" t="s">
        <v>185</v>
      </c>
      <c r="K8" s="175" t="s">
        <v>13</v>
      </c>
      <c r="L8" s="175" t="s">
        <v>185</v>
      </c>
      <c r="M8" s="175" t="s">
        <v>13</v>
      </c>
      <c r="N8" s="175" t="s">
        <v>185</v>
      </c>
      <c r="O8" s="175" t="s">
        <v>13</v>
      </c>
      <c r="P8" s="175" t="s">
        <v>185</v>
      </c>
      <c r="Q8" s="175" t="s">
        <v>13</v>
      </c>
      <c r="R8" s="197" t="s">
        <v>185</v>
      </c>
      <c r="S8" s="175" t="s">
        <v>13</v>
      </c>
      <c r="T8" s="175" t="s">
        <v>185</v>
      </c>
      <c r="U8" s="175" t="s">
        <v>13</v>
      </c>
      <c r="V8" s="175" t="s">
        <v>185</v>
      </c>
      <c r="W8" s="175" t="s">
        <v>13</v>
      </c>
      <c r="X8" s="175" t="s">
        <v>185</v>
      </c>
      <c r="Y8" s="175" t="s">
        <v>13</v>
      </c>
      <c r="Z8" s="175" t="s">
        <v>185</v>
      </c>
    </row>
    <row r="9" spans="1:26">
      <c r="A9" s="179"/>
      <c r="B9" s="179"/>
      <c r="C9" s="179" t="s">
        <v>186</v>
      </c>
      <c r="D9" s="179" t="s">
        <v>187</v>
      </c>
      <c r="E9" s="179" t="s">
        <v>186</v>
      </c>
      <c r="F9" s="179" t="s">
        <v>187</v>
      </c>
      <c r="G9" s="179" t="s">
        <v>186</v>
      </c>
      <c r="H9" s="179" t="s">
        <v>187</v>
      </c>
      <c r="I9" s="179" t="s">
        <v>186</v>
      </c>
      <c r="J9" s="179" t="s">
        <v>187</v>
      </c>
      <c r="K9" s="179" t="s">
        <v>186</v>
      </c>
      <c r="L9" s="179" t="s">
        <v>187</v>
      </c>
      <c r="M9" s="179" t="s">
        <v>186</v>
      </c>
      <c r="N9" s="179" t="s">
        <v>187</v>
      </c>
      <c r="O9" s="179" t="s">
        <v>186</v>
      </c>
      <c r="P9" s="179" t="s">
        <v>187</v>
      </c>
      <c r="Q9" s="179" t="s">
        <v>186</v>
      </c>
      <c r="R9" s="198" t="s">
        <v>187</v>
      </c>
      <c r="S9" s="179" t="s">
        <v>186</v>
      </c>
      <c r="T9" s="179" t="s">
        <v>187</v>
      </c>
      <c r="U9" s="179" t="s">
        <v>186</v>
      </c>
      <c r="V9" s="179" t="s">
        <v>187</v>
      </c>
      <c r="W9" s="179" t="s">
        <v>186</v>
      </c>
      <c r="X9" s="179" t="s">
        <v>187</v>
      </c>
      <c r="Y9" s="179" t="s">
        <v>186</v>
      </c>
      <c r="Z9" s="179" t="s">
        <v>187</v>
      </c>
    </row>
    <row r="10" spans="1:26" ht="12">
      <c r="A10" s="180">
        <v>1</v>
      </c>
      <c r="B10" s="181" t="s">
        <v>15</v>
      </c>
      <c r="C10" s="182">
        <f>'PERKOMODITI 2024'!R21</f>
        <v>1473</v>
      </c>
      <c r="D10" s="183">
        <f>'PERKOMODITI 2024'!U21</f>
        <v>1330.1190000000001</v>
      </c>
      <c r="E10" s="182">
        <f>C10</f>
        <v>1473</v>
      </c>
      <c r="F10" s="183">
        <f>D10</f>
        <v>1330.1190000000001</v>
      </c>
      <c r="G10" s="182">
        <f>C10</f>
        <v>1473</v>
      </c>
      <c r="H10" s="183">
        <f>D10</f>
        <v>1330.1190000000001</v>
      </c>
      <c r="I10" s="182">
        <f>C10</f>
        <v>1473</v>
      </c>
      <c r="J10" s="183">
        <f>D10</f>
        <v>1330.1190000000001</v>
      </c>
      <c r="K10" s="182">
        <f>C10</f>
        <v>1473</v>
      </c>
      <c r="L10" s="183">
        <f>D10</f>
        <v>1330.1190000000001</v>
      </c>
      <c r="M10" s="182">
        <f>C10</f>
        <v>1473</v>
      </c>
      <c r="N10" s="183">
        <f>D10</f>
        <v>1330.1190000000001</v>
      </c>
      <c r="O10" s="190">
        <v>0</v>
      </c>
      <c r="P10" s="190">
        <v>0</v>
      </c>
      <c r="Q10" s="190">
        <v>0</v>
      </c>
      <c r="R10" s="190">
        <v>0</v>
      </c>
      <c r="S10" s="190">
        <v>0</v>
      </c>
      <c r="T10" s="190">
        <v>0</v>
      </c>
      <c r="U10" s="190">
        <v>0</v>
      </c>
      <c r="V10" s="190">
        <v>0</v>
      </c>
      <c r="W10" s="190">
        <v>0</v>
      </c>
      <c r="X10" s="190">
        <v>0</v>
      </c>
      <c r="Y10" s="190">
        <v>0</v>
      </c>
      <c r="Z10" s="190">
        <v>0</v>
      </c>
    </row>
    <row r="11" spans="1:26" ht="12">
      <c r="A11" s="180">
        <v>2</v>
      </c>
      <c r="B11" s="181" t="s">
        <v>17</v>
      </c>
      <c r="C11" s="184">
        <f>'PERKOMODITI 2024'!R198</f>
        <v>1249.3</v>
      </c>
      <c r="D11" s="183">
        <f>'PERKOMODITI 2024'!U198</f>
        <v>1124.3699999999999</v>
      </c>
      <c r="E11" s="182">
        <f t="shared" ref="E11:E30" si="0">C11</f>
        <v>1249.3</v>
      </c>
      <c r="F11" s="183">
        <f t="shared" ref="F11:F30" si="1">D11</f>
        <v>1124.3699999999999</v>
      </c>
      <c r="G11" s="182">
        <f t="shared" ref="G11:G30" si="2">C11</f>
        <v>1249.3</v>
      </c>
      <c r="H11" s="183">
        <f t="shared" ref="H11:H30" si="3">D11</f>
        <v>1124.3699999999999</v>
      </c>
      <c r="I11" s="182">
        <f t="shared" ref="I11:I30" si="4">C11</f>
        <v>1249.3</v>
      </c>
      <c r="J11" s="183">
        <f t="shared" ref="J11:J30" si="5">D11</f>
        <v>1124.3699999999999</v>
      </c>
      <c r="K11" s="182">
        <f t="shared" ref="K11:K30" si="6">C11</f>
        <v>1249.3</v>
      </c>
      <c r="L11" s="183">
        <f t="shared" ref="L11:L30" si="7">D11</f>
        <v>1124.3699999999999</v>
      </c>
      <c r="M11" s="182">
        <f t="shared" ref="M11:M30" si="8">C11</f>
        <v>1249.3</v>
      </c>
      <c r="N11" s="183">
        <f t="shared" ref="N11:N30" si="9">D11</f>
        <v>1124.3699999999999</v>
      </c>
      <c r="O11" s="190">
        <v>0</v>
      </c>
      <c r="P11" s="190">
        <v>0</v>
      </c>
      <c r="Q11" s="190">
        <v>0</v>
      </c>
      <c r="R11" s="190">
        <v>0</v>
      </c>
      <c r="S11" s="190">
        <v>0</v>
      </c>
      <c r="T11" s="190">
        <v>0</v>
      </c>
      <c r="U11" s="190">
        <v>0</v>
      </c>
      <c r="V11" s="190">
        <v>0</v>
      </c>
      <c r="W11" s="190">
        <v>0</v>
      </c>
      <c r="X11" s="190">
        <v>0</v>
      </c>
      <c r="Y11" s="190">
        <v>0</v>
      </c>
      <c r="Z11" s="190">
        <v>0</v>
      </c>
    </row>
    <row r="12" spans="1:26" ht="12">
      <c r="A12" s="180">
        <v>3</v>
      </c>
      <c r="B12" s="181" t="s">
        <v>16</v>
      </c>
      <c r="C12" s="184">
        <f>'PERKOMODITI 2024'!R68</f>
        <v>23374</v>
      </c>
      <c r="D12" s="183">
        <f>'PERKOMODITI 2024'!U68</f>
        <v>80778.907819999993</v>
      </c>
      <c r="E12" s="182">
        <f t="shared" si="0"/>
        <v>23374</v>
      </c>
      <c r="F12" s="183">
        <f t="shared" si="1"/>
        <v>80778.907819999993</v>
      </c>
      <c r="G12" s="182">
        <f t="shared" si="2"/>
        <v>23374</v>
      </c>
      <c r="H12" s="183">
        <f t="shared" si="3"/>
        <v>80778.907819999993</v>
      </c>
      <c r="I12" s="182">
        <f t="shared" si="4"/>
        <v>23374</v>
      </c>
      <c r="J12" s="183">
        <f t="shared" si="5"/>
        <v>80778.907819999993</v>
      </c>
      <c r="K12" s="182">
        <f t="shared" si="6"/>
        <v>23374</v>
      </c>
      <c r="L12" s="183">
        <f t="shared" si="7"/>
        <v>80778.907819999993</v>
      </c>
      <c r="M12" s="182">
        <f t="shared" si="8"/>
        <v>23374</v>
      </c>
      <c r="N12" s="183">
        <f t="shared" si="9"/>
        <v>80778.907819999993</v>
      </c>
      <c r="O12" s="190">
        <v>0</v>
      </c>
      <c r="P12" s="190">
        <v>0</v>
      </c>
      <c r="Q12" s="190">
        <v>0</v>
      </c>
      <c r="R12" s="190">
        <v>0</v>
      </c>
      <c r="S12" s="190">
        <v>0</v>
      </c>
      <c r="T12" s="190">
        <v>0</v>
      </c>
      <c r="U12" s="190">
        <v>0</v>
      </c>
      <c r="V12" s="190">
        <v>0</v>
      </c>
      <c r="W12" s="190">
        <v>0</v>
      </c>
      <c r="X12" s="190">
        <v>0</v>
      </c>
      <c r="Y12" s="190">
        <v>0</v>
      </c>
      <c r="Z12" s="190">
        <v>0</v>
      </c>
    </row>
    <row r="13" spans="1:26" ht="12">
      <c r="A13" s="180">
        <v>4</v>
      </c>
      <c r="B13" s="181" t="s">
        <v>188</v>
      </c>
      <c r="C13" s="185">
        <f>'PERKOMODITI 2024'!R381</f>
        <v>10</v>
      </c>
      <c r="D13" s="183">
        <f>'PERKOMODITI 2024'!U381</f>
        <v>5.1400000000000006</v>
      </c>
      <c r="E13" s="182">
        <f t="shared" si="0"/>
        <v>10</v>
      </c>
      <c r="F13" s="183">
        <f t="shared" si="1"/>
        <v>5.1400000000000006</v>
      </c>
      <c r="G13" s="182">
        <f t="shared" si="2"/>
        <v>10</v>
      </c>
      <c r="H13" s="183">
        <f t="shared" si="3"/>
        <v>5.1400000000000006</v>
      </c>
      <c r="I13" s="182">
        <f t="shared" si="4"/>
        <v>10</v>
      </c>
      <c r="J13" s="183">
        <f t="shared" si="5"/>
        <v>5.1400000000000006</v>
      </c>
      <c r="K13" s="182">
        <f t="shared" si="6"/>
        <v>10</v>
      </c>
      <c r="L13" s="183">
        <f t="shared" si="7"/>
        <v>5.1400000000000006</v>
      </c>
      <c r="M13" s="182">
        <f t="shared" si="8"/>
        <v>10</v>
      </c>
      <c r="N13" s="183">
        <f t="shared" si="9"/>
        <v>5.1400000000000006</v>
      </c>
      <c r="O13" s="190">
        <v>0</v>
      </c>
      <c r="P13" s="190">
        <v>0</v>
      </c>
      <c r="Q13" s="190">
        <v>0</v>
      </c>
      <c r="R13" s="190">
        <v>0</v>
      </c>
      <c r="S13" s="190">
        <v>0</v>
      </c>
      <c r="T13" s="190">
        <v>0</v>
      </c>
      <c r="U13" s="190">
        <v>0</v>
      </c>
      <c r="V13" s="190">
        <v>0</v>
      </c>
      <c r="W13" s="190">
        <v>0</v>
      </c>
      <c r="X13" s="190">
        <v>0</v>
      </c>
      <c r="Y13" s="190">
        <v>0</v>
      </c>
      <c r="Z13" s="190">
        <v>0</v>
      </c>
    </row>
    <row r="14" spans="1:26" ht="12">
      <c r="A14" s="180">
        <v>5</v>
      </c>
      <c r="B14" s="181" t="s">
        <v>23</v>
      </c>
      <c r="C14" s="185">
        <f>'PERKOMODITI 2024'!R106</f>
        <v>74</v>
      </c>
      <c r="D14" s="183">
        <f>'PERKOMODITI 2024'!U106</f>
        <v>64.231999999999999</v>
      </c>
      <c r="E14" s="182">
        <f t="shared" si="0"/>
        <v>74</v>
      </c>
      <c r="F14" s="183">
        <f t="shared" si="1"/>
        <v>64.231999999999999</v>
      </c>
      <c r="G14" s="182">
        <f t="shared" si="2"/>
        <v>74</v>
      </c>
      <c r="H14" s="183">
        <f t="shared" si="3"/>
        <v>64.231999999999999</v>
      </c>
      <c r="I14" s="182">
        <f t="shared" si="4"/>
        <v>74</v>
      </c>
      <c r="J14" s="183">
        <f t="shared" si="5"/>
        <v>64.231999999999999</v>
      </c>
      <c r="K14" s="182">
        <f t="shared" si="6"/>
        <v>74</v>
      </c>
      <c r="L14" s="183">
        <f t="shared" si="7"/>
        <v>64.231999999999999</v>
      </c>
      <c r="M14" s="182">
        <f t="shared" si="8"/>
        <v>74</v>
      </c>
      <c r="N14" s="183">
        <f t="shared" si="9"/>
        <v>64.231999999999999</v>
      </c>
      <c r="O14" s="190">
        <v>0</v>
      </c>
      <c r="P14" s="190">
        <v>0</v>
      </c>
      <c r="Q14" s="190">
        <v>0</v>
      </c>
      <c r="R14" s="190">
        <v>0</v>
      </c>
      <c r="S14" s="190">
        <v>0</v>
      </c>
      <c r="T14" s="190">
        <v>0</v>
      </c>
      <c r="U14" s="190">
        <v>0</v>
      </c>
      <c r="V14" s="190">
        <v>0</v>
      </c>
      <c r="W14" s="190">
        <v>0</v>
      </c>
      <c r="X14" s="190">
        <v>0</v>
      </c>
      <c r="Y14" s="190">
        <v>0</v>
      </c>
      <c r="Z14" s="190">
        <v>0</v>
      </c>
    </row>
    <row r="15" spans="1:26" ht="12">
      <c r="A15" s="180">
        <v>6</v>
      </c>
      <c r="B15" s="181" t="s">
        <v>28</v>
      </c>
      <c r="C15" s="185">
        <f>'PERKOMODITI 2024'!R499</f>
        <v>159</v>
      </c>
      <c r="D15" s="183">
        <f>'PERKOMODITI 2024'!U499</f>
        <v>70.436999999999998</v>
      </c>
      <c r="E15" s="182">
        <f t="shared" si="0"/>
        <v>159</v>
      </c>
      <c r="F15" s="183">
        <f t="shared" si="1"/>
        <v>70.436999999999998</v>
      </c>
      <c r="G15" s="182">
        <f t="shared" si="2"/>
        <v>159</v>
      </c>
      <c r="H15" s="183">
        <f t="shared" si="3"/>
        <v>70.436999999999998</v>
      </c>
      <c r="I15" s="182">
        <f t="shared" si="4"/>
        <v>159</v>
      </c>
      <c r="J15" s="183">
        <f t="shared" si="5"/>
        <v>70.436999999999998</v>
      </c>
      <c r="K15" s="182">
        <f t="shared" si="6"/>
        <v>159</v>
      </c>
      <c r="L15" s="183">
        <f t="shared" si="7"/>
        <v>70.436999999999998</v>
      </c>
      <c r="M15" s="182">
        <f t="shared" si="8"/>
        <v>159</v>
      </c>
      <c r="N15" s="183">
        <f t="shared" si="9"/>
        <v>70.436999999999998</v>
      </c>
      <c r="O15" s="190">
        <v>0</v>
      </c>
      <c r="P15" s="190">
        <v>0</v>
      </c>
      <c r="Q15" s="190">
        <v>0</v>
      </c>
      <c r="R15" s="190">
        <v>0</v>
      </c>
      <c r="S15" s="190">
        <v>0</v>
      </c>
      <c r="T15" s="190">
        <v>0</v>
      </c>
      <c r="U15" s="190">
        <v>0</v>
      </c>
      <c r="V15" s="190">
        <v>0</v>
      </c>
      <c r="W15" s="190">
        <v>0</v>
      </c>
      <c r="X15" s="190">
        <v>0</v>
      </c>
      <c r="Y15" s="190">
        <v>0</v>
      </c>
      <c r="Z15" s="190">
        <v>0</v>
      </c>
    </row>
    <row r="16" spans="1:26" ht="12">
      <c r="A16" s="186">
        <v>7</v>
      </c>
      <c r="B16" s="181" t="s">
        <v>31</v>
      </c>
      <c r="C16" s="187">
        <f>'PERKOMODITI 2024'!R620</f>
        <v>0</v>
      </c>
      <c r="D16" s="183">
        <f>'PERKOMODITI 2024'!U620</f>
        <v>0</v>
      </c>
      <c r="E16" s="182">
        <f t="shared" si="0"/>
        <v>0</v>
      </c>
      <c r="F16" s="183">
        <f t="shared" si="1"/>
        <v>0</v>
      </c>
      <c r="G16" s="182">
        <f t="shared" si="2"/>
        <v>0</v>
      </c>
      <c r="H16" s="183">
        <f t="shared" si="3"/>
        <v>0</v>
      </c>
      <c r="I16" s="182">
        <f t="shared" si="4"/>
        <v>0</v>
      </c>
      <c r="J16" s="183">
        <f t="shared" si="5"/>
        <v>0</v>
      </c>
      <c r="K16" s="182">
        <f t="shared" si="6"/>
        <v>0</v>
      </c>
      <c r="L16" s="183">
        <f t="shared" si="7"/>
        <v>0</v>
      </c>
      <c r="M16" s="182">
        <f t="shared" si="8"/>
        <v>0</v>
      </c>
      <c r="N16" s="183">
        <f t="shared" si="9"/>
        <v>0</v>
      </c>
      <c r="O16" s="190">
        <v>0</v>
      </c>
      <c r="P16" s="190">
        <v>0</v>
      </c>
      <c r="Q16" s="190">
        <v>0</v>
      </c>
      <c r="R16" s="190">
        <v>0</v>
      </c>
      <c r="S16" s="190">
        <v>0</v>
      </c>
      <c r="T16" s="190">
        <v>0</v>
      </c>
      <c r="U16" s="190">
        <v>0</v>
      </c>
      <c r="V16" s="190">
        <v>0</v>
      </c>
      <c r="W16" s="190">
        <v>0</v>
      </c>
      <c r="X16" s="190">
        <v>0</v>
      </c>
      <c r="Y16" s="190">
        <v>0</v>
      </c>
      <c r="Z16" s="190">
        <v>0</v>
      </c>
    </row>
    <row r="17" spans="1:26" ht="12">
      <c r="A17" s="180">
        <v>8</v>
      </c>
      <c r="B17" s="181" t="s">
        <v>189</v>
      </c>
      <c r="C17" s="185" t="str">
        <f>'REKAP ATAP 2024'!E17</f>
        <v>-</v>
      </c>
      <c r="D17" s="183" t="str">
        <f>'REKAP ATAP 2024'!H17</f>
        <v>-</v>
      </c>
      <c r="E17" s="182" t="str">
        <f t="shared" si="0"/>
        <v>-</v>
      </c>
      <c r="F17" s="183" t="str">
        <f t="shared" si="1"/>
        <v>-</v>
      </c>
      <c r="G17" s="182" t="str">
        <f t="shared" si="2"/>
        <v>-</v>
      </c>
      <c r="H17" s="183" t="str">
        <f t="shared" si="3"/>
        <v>-</v>
      </c>
      <c r="I17" s="182" t="str">
        <f t="shared" si="4"/>
        <v>-</v>
      </c>
      <c r="J17" s="183" t="str">
        <f t="shared" si="5"/>
        <v>-</v>
      </c>
      <c r="K17" s="182" t="str">
        <f t="shared" si="6"/>
        <v>-</v>
      </c>
      <c r="L17" s="183" t="str">
        <f t="shared" si="7"/>
        <v>-</v>
      </c>
      <c r="M17" s="182" t="str">
        <f t="shared" si="8"/>
        <v>-</v>
      </c>
      <c r="N17" s="183" t="str">
        <f t="shared" si="9"/>
        <v>-</v>
      </c>
      <c r="O17" s="190">
        <v>0</v>
      </c>
      <c r="P17" s="190">
        <v>0</v>
      </c>
      <c r="Q17" s="190">
        <v>0</v>
      </c>
      <c r="R17" s="190">
        <v>0</v>
      </c>
      <c r="S17" s="190">
        <v>0</v>
      </c>
      <c r="T17" s="190">
        <v>0</v>
      </c>
      <c r="U17" s="190">
        <v>0</v>
      </c>
      <c r="V17" s="190">
        <v>0</v>
      </c>
      <c r="W17" s="190">
        <v>0</v>
      </c>
      <c r="X17" s="190">
        <v>0</v>
      </c>
      <c r="Y17" s="190">
        <v>0</v>
      </c>
      <c r="Z17" s="190">
        <v>0</v>
      </c>
    </row>
    <row r="18" spans="1:26" ht="12">
      <c r="A18" s="180">
        <v>9</v>
      </c>
      <c r="B18" s="181" t="s">
        <v>24</v>
      </c>
      <c r="C18" s="185">
        <f>'PERKOMODITI 2024'!R461</f>
        <v>2</v>
      </c>
      <c r="D18" s="183">
        <f>'PERKOMODITI 2024'!U461</f>
        <v>1</v>
      </c>
      <c r="E18" s="182">
        <f t="shared" si="0"/>
        <v>2</v>
      </c>
      <c r="F18" s="183">
        <f t="shared" si="1"/>
        <v>1</v>
      </c>
      <c r="G18" s="182">
        <f t="shared" si="2"/>
        <v>2</v>
      </c>
      <c r="H18" s="183">
        <f t="shared" si="3"/>
        <v>1</v>
      </c>
      <c r="I18" s="182">
        <f t="shared" si="4"/>
        <v>2</v>
      </c>
      <c r="J18" s="183">
        <f t="shared" si="5"/>
        <v>1</v>
      </c>
      <c r="K18" s="182">
        <f t="shared" si="6"/>
        <v>2</v>
      </c>
      <c r="L18" s="183">
        <f t="shared" si="7"/>
        <v>1</v>
      </c>
      <c r="M18" s="182">
        <f t="shared" si="8"/>
        <v>2</v>
      </c>
      <c r="N18" s="183">
        <f t="shared" si="9"/>
        <v>1</v>
      </c>
      <c r="O18" s="190">
        <v>0</v>
      </c>
      <c r="P18" s="190">
        <v>0</v>
      </c>
      <c r="Q18" s="190">
        <v>0</v>
      </c>
      <c r="R18" s="190">
        <v>0</v>
      </c>
      <c r="S18" s="190">
        <v>0</v>
      </c>
      <c r="T18" s="190">
        <v>0</v>
      </c>
      <c r="U18" s="190">
        <v>0</v>
      </c>
      <c r="V18" s="190">
        <v>0</v>
      </c>
      <c r="W18" s="190">
        <v>0</v>
      </c>
      <c r="X18" s="190">
        <v>0</v>
      </c>
      <c r="Y18" s="190">
        <v>0</v>
      </c>
      <c r="Z18" s="190">
        <v>0</v>
      </c>
    </row>
    <row r="19" spans="1:26" ht="12">
      <c r="A19" s="180">
        <v>10</v>
      </c>
      <c r="B19" s="181" t="s">
        <v>190</v>
      </c>
      <c r="C19" s="185" t="str">
        <f>'REKAP ATAP 2024'!E19</f>
        <v>-</v>
      </c>
      <c r="D19" s="183" t="str">
        <f>'REKAP ATAP 2024'!H19</f>
        <v>-</v>
      </c>
      <c r="E19" s="182" t="str">
        <f t="shared" si="0"/>
        <v>-</v>
      </c>
      <c r="F19" s="183" t="str">
        <f t="shared" si="1"/>
        <v>-</v>
      </c>
      <c r="G19" s="182" t="str">
        <f t="shared" si="2"/>
        <v>-</v>
      </c>
      <c r="H19" s="183" t="str">
        <f t="shared" si="3"/>
        <v>-</v>
      </c>
      <c r="I19" s="182" t="str">
        <f t="shared" si="4"/>
        <v>-</v>
      </c>
      <c r="J19" s="183" t="str">
        <f t="shared" si="5"/>
        <v>-</v>
      </c>
      <c r="K19" s="182" t="str">
        <f t="shared" si="6"/>
        <v>-</v>
      </c>
      <c r="L19" s="183" t="str">
        <f t="shared" si="7"/>
        <v>-</v>
      </c>
      <c r="M19" s="182" t="str">
        <f t="shared" si="8"/>
        <v>-</v>
      </c>
      <c r="N19" s="183" t="str">
        <f t="shared" si="9"/>
        <v>-</v>
      </c>
      <c r="O19" s="190">
        <v>0</v>
      </c>
      <c r="P19" s="190">
        <v>0</v>
      </c>
      <c r="Q19" s="190">
        <v>0</v>
      </c>
      <c r="R19" s="190">
        <v>0</v>
      </c>
      <c r="S19" s="190">
        <v>0</v>
      </c>
      <c r="T19" s="190">
        <v>0</v>
      </c>
      <c r="U19" s="190">
        <v>0</v>
      </c>
      <c r="V19" s="190">
        <v>0</v>
      </c>
      <c r="W19" s="190">
        <v>0</v>
      </c>
      <c r="X19" s="190">
        <v>0</v>
      </c>
      <c r="Y19" s="190">
        <v>0</v>
      </c>
      <c r="Z19" s="190">
        <v>0</v>
      </c>
    </row>
    <row r="20" spans="1:26" ht="12">
      <c r="A20" s="186">
        <v>11</v>
      </c>
      <c r="B20" s="181" t="s">
        <v>29</v>
      </c>
      <c r="C20" s="185">
        <f>'PERKOMODITI 2024'!R544</f>
        <v>53</v>
      </c>
      <c r="D20" s="183">
        <f>'PERKOMODITI 2024'!U544</f>
        <v>15.899999999999999</v>
      </c>
      <c r="E20" s="182">
        <f t="shared" si="0"/>
        <v>53</v>
      </c>
      <c r="F20" s="183">
        <f t="shared" si="1"/>
        <v>15.899999999999999</v>
      </c>
      <c r="G20" s="182">
        <f t="shared" si="2"/>
        <v>53</v>
      </c>
      <c r="H20" s="183">
        <f t="shared" si="3"/>
        <v>15.899999999999999</v>
      </c>
      <c r="I20" s="182">
        <f t="shared" si="4"/>
        <v>53</v>
      </c>
      <c r="J20" s="183">
        <f t="shared" si="5"/>
        <v>15.899999999999999</v>
      </c>
      <c r="K20" s="182">
        <f t="shared" si="6"/>
        <v>53</v>
      </c>
      <c r="L20" s="183">
        <f t="shared" si="7"/>
        <v>15.899999999999999</v>
      </c>
      <c r="M20" s="182">
        <f t="shared" si="8"/>
        <v>53</v>
      </c>
      <c r="N20" s="183">
        <f t="shared" si="9"/>
        <v>15.899999999999999</v>
      </c>
      <c r="O20" s="190">
        <v>0</v>
      </c>
      <c r="P20" s="190">
        <v>0</v>
      </c>
      <c r="Q20" s="190">
        <v>0</v>
      </c>
      <c r="R20" s="190">
        <v>0</v>
      </c>
      <c r="S20" s="190">
        <v>0</v>
      </c>
      <c r="T20" s="190">
        <v>0</v>
      </c>
      <c r="U20" s="190">
        <v>0</v>
      </c>
      <c r="V20" s="190">
        <v>0</v>
      </c>
      <c r="W20" s="190">
        <v>0</v>
      </c>
      <c r="X20" s="190">
        <v>0</v>
      </c>
      <c r="Y20" s="190">
        <v>0</v>
      </c>
      <c r="Z20" s="190">
        <v>0</v>
      </c>
    </row>
    <row r="21" spans="1:26" ht="12">
      <c r="A21" s="180">
        <v>12</v>
      </c>
      <c r="B21" s="181" t="s">
        <v>21</v>
      </c>
      <c r="C21" s="185">
        <f>'PERKOMODITI 2024'!R151</f>
        <v>305</v>
      </c>
      <c r="D21" s="183">
        <f>'PERKOMODITI 2024'!U151</f>
        <v>122</v>
      </c>
      <c r="E21" s="182">
        <f t="shared" si="0"/>
        <v>305</v>
      </c>
      <c r="F21" s="183">
        <f t="shared" si="1"/>
        <v>122</v>
      </c>
      <c r="G21" s="182">
        <f t="shared" si="2"/>
        <v>305</v>
      </c>
      <c r="H21" s="183">
        <f t="shared" si="3"/>
        <v>122</v>
      </c>
      <c r="I21" s="182">
        <f t="shared" si="4"/>
        <v>305</v>
      </c>
      <c r="J21" s="183">
        <f t="shared" si="5"/>
        <v>122</v>
      </c>
      <c r="K21" s="182">
        <f t="shared" si="6"/>
        <v>305</v>
      </c>
      <c r="L21" s="183">
        <f t="shared" si="7"/>
        <v>122</v>
      </c>
      <c r="M21" s="182">
        <f t="shared" si="8"/>
        <v>305</v>
      </c>
      <c r="N21" s="183">
        <f t="shared" si="9"/>
        <v>122</v>
      </c>
      <c r="O21" s="190">
        <v>0</v>
      </c>
      <c r="P21" s="190">
        <v>0</v>
      </c>
      <c r="Q21" s="190">
        <v>0</v>
      </c>
      <c r="R21" s="190">
        <v>0</v>
      </c>
      <c r="S21" s="190">
        <v>0</v>
      </c>
      <c r="T21" s="190">
        <v>0</v>
      </c>
      <c r="U21" s="190">
        <v>0</v>
      </c>
      <c r="V21" s="190">
        <v>0</v>
      </c>
      <c r="W21" s="190">
        <v>0</v>
      </c>
      <c r="X21" s="190">
        <v>0</v>
      </c>
      <c r="Y21" s="190">
        <v>0</v>
      </c>
      <c r="Z21" s="190">
        <v>0</v>
      </c>
    </row>
    <row r="22" spans="1:26" ht="12">
      <c r="A22" s="180">
        <v>13</v>
      </c>
      <c r="B22" s="181" t="s">
        <v>191</v>
      </c>
      <c r="C22" s="185">
        <f>'PERKOMODITI 2024'!R424</f>
        <v>1</v>
      </c>
      <c r="D22" s="183">
        <f>'PERKOMODITI 2024'!U424</f>
        <v>0.21</v>
      </c>
      <c r="E22" s="182">
        <f t="shared" si="0"/>
        <v>1</v>
      </c>
      <c r="F22" s="183">
        <f t="shared" si="1"/>
        <v>0.21</v>
      </c>
      <c r="G22" s="182">
        <f t="shared" si="2"/>
        <v>1</v>
      </c>
      <c r="H22" s="183">
        <f t="shared" si="3"/>
        <v>0.21</v>
      </c>
      <c r="I22" s="182">
        <f t="shared" si="4"/>
        <v>1</v>
      </c>
      <c r="J22" s="183">
        <f t="shared" si="5"/>
        <v>0.21</v>
      </c>
      <c r="K22" s="182">
        <f t="shared" si="6"/>
        <v>1</v>
      </c>
      <c r="L22" s="183">
        <f t="shared" si="7"/>
        <v>0.21</v>
      </c>
      <c r="M22" s="182">
        <f t="shared" si="8"/>
        <v>1</v>
      </c>
      <c r="N22" s="183">
        <f t="shared" si="9"/>
        <v>0.21</v>
      </c>
      <c r="O22" s="190">
        <v>0</v>
      </c>
      <c r="P22" s="190">
        <v>0</v>
      </c>
      <c r="Q22" s="190">
        <v>0</v>
      </c>
      <c r="R22" s="190">
        <v>0</v>
      </c>
      <c r="S22" s="190">
        <v>0</v>
      </c>
      <c r="T22" s="190">
        <v>0</v>
      </c>
      <c r="U22" s="190">
        <v>0</v>
      </c>
      <c r="V22" s="190">
        <v>0</v>
      </c>
      <c r="W22" s="190">
        <v>0</v>
      </c>
      <c r="X22" s="190">
        <v>0</v>
      </c>
      <c r="Y22" s="190">
        <v>0</v>
      </c>
      <c r="Z22" s="190">
        <v>0</v>
      </c>
    </row>
    <row r="23" spans="1:26" ht="12">
      <c r="A23" s="180">
        <v>14</v>
      </c>
      <c r="B23" s="181" t="s">
        <v>30</v>
      </c>
      <c r="C23" s="185">
        <f>'PERKOMODITI 2024'!R581</f>
        <v>0</v>
      </c>
      <c r="D23" s="183">
        <f>'PERKOMODITI 2024'!U581</f>
        <v>0</v>
      </c>
      <c r="E23" s="182">
        <f t="shared" si="0"/>
        <v>0</v>
      </c>
      <c r="F23" s="183">
        <f t="shared" si="1"/>
        <v>0</v>
      </c>
      <c r="G23" s="182">
        <f t="shared" si="2"/>
        <v>0</v>
      </c>
      <c r="H23" s="183">
        <f t="shared" si="3"/>
        <v>0</v>
      </c>
      <c r="I23" s="182">
        <f t="shared" si="4"/>
        <v>0</v>
      </c>
      <c r="J23" s="183">
        <f t="shared" si="5"/>
        <v>0</v>
      </c>
      <c r="K23" s="182">
        <f t="shared" si="6"/>
        <v>0</v>
      </c>
      <c r="L23" s="183">
        <f t="shared" si="7"/>
        <v>0</v>
      </c>
      <c r="M23" s="182">
        <f t="shared" si="8"/>
        <v>0</v>
      </c>
      <c r="N23" s="183">
        <f t="shared" si="9"/>
        <v>0</v>
      </c>
      <c r="O23" s="190">
        <v>0</v>
      </c>
      <c r="P23" s="190">
        <v>0</v>
      </c>
      <c r="Q23" s="190">
        <v>0</v>
      </c>
      <c r="R23" s="190">
        <v>0</v>
      </c>
      <c r="S23" s="190">
        <v>0</v>
      </c>
      <c r="T23" s="190">
        <v>0</v>
      </c>
      <c r="U23" s="190">
        <v>0</v>
      </c>
      <c r="V23" s="190">
        <v>0</v>
      </c>
      <c r="W23" s="190">
        <v>0</v>
      </c>
      <c r="X23" s="190">
        <v>0</v>
      </c>
      <c r="Y23" s="190">
        <v>0</v>
      </c>
      <c r="Z23" s="190">
        <v>0</v>
      </c>
    </row>
    <row r="24" spans="1:26" ht="12">
      <c r="A24" s="180">
        <v>15</v>
      </c>
      <c r="B24" s="181" t="s">
        <v>26</v>
      </c>
      <c r="C24" s="185">
        <f>'PERKOMODITI 2024'!R245</f>
        <v>145</v>
      </c>
      <c r="D24" s="183">
        <f>'PERKOMODITI 2024'!U245</f>
        <v>54.23</v>
      </c>
      <c r="E24" s="182">
        <f t="shared" si="0"/>
        <v>145</v>
      </c>
      <c r="F24" s="183">
        <f t="shared" si="1"/>
        <v>54.23</v>
      </c>
      <c r="G24" s="182">
        <f t="shared" si="2"/>
        <v>145</v>
      </c>
      <c r="H24" s="183">
        <f t="shared" si="3"/>
        <v>54.23</v>
      </c>
      <c r="I24" s="182">
        <f t="shared" si="4"/>
        <v>145</v>
      </c>
      <c r="J24" s="183">
        <f t="shared" si="5"/>
        <v>54.23</v>
      </c>
      <c r="K24" s="182">
        <f t="shared" si="6"/>
        <v>145</v>
      </c>
      <c r="L24" s="183">
        <f t="shared" si="7"/>
        <v>54.23</v>
      </c>
      <c r="M24" s="182">
        <f t="shared" si="8"/>
        <v>145</v>
      </c>
      <c r="N24" s="183">
        <f t="shared" si="9"/>
        <v>54.23</v>
      </c>
      <c r="O24" s="190">
        <v>0</v>
      </c>
      <c r="P24" s="190">
        <v>0</v>
      </c>
      <c r="Q24" s="190">
        <v>0</v>
      </c>
      <c r="R24" s="190">
        <v>0</v>
      </c>
      <c r="S24" s="190">
        <v>0</v>
      </c>
      <c r="T24" s="190">
        <v>0</v>
      </c>
      <c r="U24" s="190">
        <v>0</v>
      </c>
      <c r="V24" s="190">
        <v>0</v>
      </c>
      <c r="W24" s="190">
        <v>0</v>
      </c>
      <c r="X24" s="190">
        <v>0</v>
      </c>
      <c r="Y24" s="190">
        <v>0</v>
      </c>
      <c r="Z24" s="190">
        <v>0</v>
      </c>
    </row>
    <row r="25" spans="1:26" ht="12">
      <c r="A25" s="180">
        <v>16</v>
      </c>
      <c r="B25" s="181" t="s">
        <v>27</v>
      </c>
      <c r="C25" s="188">
        <f>'PERKOMODITI 2024'!R336</f>
        <v>19</v>
      </c>
      <c r="D25" s="183">
        <f>'PERKOMODITI 2024'!U336</f>
        <v>2.8689999999999998</v>
      </c>
      <c r="E25" s="182">
        <f t="shared" si="0"/>
        <v>19</v>
      </c>
      <c r="F25" s="183">
        <f t="shared" si="1"/>
        <v>2.8689999999999998</v>
      </c>
      <c r="G25" s="182">
        <f t="shared" si="2"/>
        <v>19</v>
      </c>
      <c r="H25" s="183">
        <f t="shared" si="3"/>
        <v>2.8689999999999998</v>
      </c>
      <c r="I25" s="182">
        <f t="shared" si="4"/>
        <v>19</v>
      </c>
      <c r="J25" s="183">
        <f t="shared" si="5"/>
        <v>2.8689999999999998</v>
      </c>
      <c r="K25" s="182">
        <f t="shared" si="6"/>
        <v>19</v>
      </c>
      <c r="L25" s="183">
        <f t="shared" si="7"/>
        <v>2.8689999999999998</v>
      </c>
      <c r="M25" s="182">
        <f t="shared" si="8"/>
        <v>19</v>
      </c>
      <c r="N25" s="183">
        <f t="shared" si="9"/>
        <v>2.8689999999999998</v>
      </c>
      <c r="O25" s="190">
        <v>0</v>
      </c>
      <c r="P25" s="190">
        <v>0</v>
      </c>
      <c r="Q25" s="190">
        <v>0</v>
      </c>
      <c r="R25" s="190">
        <v>0</v>
      </c>
      <c r="S25" s="190">
        <v>0</v>
      </c>
      <c r="T25" s="190">
        <v>0</v>
      </c>
      <c r="U25" s="190">
        <v>0</v>
      </c>
      <c r="V25" s="190">
        <v>0</v>
      </c>
      <c r="W25" s="190">
        <v>0</v>
      </c>
      <c r="X25" s="190">
        <v>0</v>
      </c>
      <c r="Y25" s="190">
        <v>0</v>
      </c>
      <c r="Z25" s="190">
        <v>0</v>
      </c>
    </row>
    <row r="26" spans="1:26" ht="12">
      <c r="A26" s="180">
        <v>17</v>
      </c>
      <c r="B26" s="181" t="s">
        <v>192</v>
      </c>
      <c r="C26" s="185" t="str">
        <f>'REKAP ATAP 2024'!E26</f>
        <v>-</v>
      </c>
      <c r="D26" s="183" t="str">
        <f>'REKAP ATAP 2024'!H26</f>
        <v>-</v>
      </c>
      <c r="E26" s="182" t="str">
        <f t="shared" si="0"/>
        <v>-</v>
      </c>
      <c r="F26" s="183" t="str">
        <f t="shared" si="1"/>
        <v>-</v>
      </c>
      <c r="G26" s="182" t="str">
        <f t="shared" si="2"/>
        <v>-</v>
      </c>
      <c r="H26" s="183" t="str">
        <f t="shared" si="3"/>
        <v>-</v>
      </c>
      <c r="I26" s="182" t="str">
        <f t="shared" si="4"/>
        <v>-</v>
      </c>
      <c r="J26" s="183" t="str">
        <f t="shared" si="5"/>
        <v>-</v>
      </c>
      <c r="K26" s="182" t="str">
        <f t="shared" si="6"/>
        <v>-</v>
      </c>
      <c r="L26" s="183" t="str">
        <f t="shared" si="7"/>
        <v>-</v>
      </c>
      <c r="M26" s="182" t="str">
        <f t="shared" si="8"/>
        <v>-</v>
      </c>
      <c r="N26" s="183" t="str">
        <f t="shared" si="9"/>
        <v>-</v>
      </c>
      <c r="O26" s="190">
        <v>0</v>
      </c>
      <c r="P26" s="190">
        <v>0</v>
      </c>
      <c r="Q26" s="190">
        <v>0</v>
      </c>
      <c r="R26" s="190">
        <v>0</v>
      </c>
      <c r="S26" s="190">
        <v>0</v>
      </c>
      <c r="T26" s="190">
        <v>0</v>
      </c>
      <c r="U26" s="190">
        <v>0</v>
      </c>
      <c r="V26" s="190">
        <v>0</v>
      </c>
      <c r="W26" s="190">
        <v>0</v>
      </c>
      <c r="X26" s="190">
        <v>0</v>
      </c>
      <c r="Y26" s="190">
        <v>0</v>
      </c>
      <c r="Z26" s="190">
        <v>0</v>
      </c>
    </row>
    <row r="27" spans="1:26" ht="12">
      <c r="A27" s="180">
        <v>18</v>
      </c>
      <c r="B27" s="181" t="s">
        <v>193</v>
      </c>
      <c r="C27" s="185" t="str">
        <f>'REKAP ATAP 2024'!E27</f>
        <v>-</v>
      </c>
      <c r="D27" s="183" t="str">
        <f>'REKAP ATAP 2024'!H27</f>
        <v>-</v>
      </c>
      <c r="E27" s="182" t="str">
        <f t="shared" si="0"/>
        <v>-</v>
      </c>
      <c r="F27" s="183" t="str">
        <f t="shared" si="1"/>
        <v>-</v>
      </c>
      <c r="G27" s="182" t="str">
        <f t="shared" si="2"/>
        <v>-</v>
      </c>
      <c r="H27" s="183" t="str">
        <f t="shared" si="3"/>
        <v>-</v>
      </c>
      <c r="I27" s="182" t="str">
        <f t="shared" si="4"/>
        <v>-</v>
      </c>
      <c r="J27" s="183" t="str">
        <f t="shared" si="5"/>
        <v>-</v>
      </c>
      <c r="K27" s="182" t="str">
        <f t="shared" si="6"/>
        <v>-</v>
      </c>
      <c r="L27" s="183" t="str">
        <f t="shared" si="7"/>
        <v>-</v>
      </c>
      <c r="M27" s="182" t="str">
        <f t="shared" si="8"/>
        <v>-</v>
      </c>
      <c r="N27" s="183" t="str">
        <f t="shared" si="9"/>
        <v>-</v>
      </c>
      <c r="O27" s="190">
        <v>0</v>
      </c>
      <c r="P27" s="190">
        <v>0</v>
      </c>
      <c r="Q27" s="190">
        <v>0</v>
      </c>
      <c r="R27" s="190">
        <v>0</v>
      </c>
      <c r="S27" s="190">
        <v>0</v>
      </c>
      <c r="T27" s="190">
        <v>0</v>
      </c>
      <c r="U27" s="190">
        <v>0</v>
      </c>
      <c r="V27" s="190">
        <v>0</v>
      </c>
      <c r="W27" s="190">
        <v>0</v>
      </c>
      <c r="X27" s="190">
        <v>0</v>
      </c>
      <c r="Y27" s="190">
        <v>0</v>
      </c>
      <c r="Z27" s="190">
        <v>0</v>
      </c>
    </row>
    <row r="28" spans="1:26" ht="12">
      <c r="A28" s="180">
        <v>19</v>
      </c>
      <c r="B28" s="181" t="s">
        <v>19</v>
      </c>
      <c r="C28" s="188">
        <f>'PERKOMODITI 2024'!R291</f>
        <v>6</v>
      </c>
      <c r="D28" s="183">
        <f>'PERKOMODITI 2024'!U291</f>
        <v>1.0979999999999999</v>
      </c>
      <c r="E28" s="182">
        <f t="shared" si="0"/>
        <v>6</v>
      </c>
      <c r="F28" s="183">
        <f t="shared" si="1"/>
        <v>1.0979999999999999</v>
      </c>
      <c r="G28" s="182">
        <f t="shared" si="2"/>
        <v>6</v>
      </c>
      <c r="H28" s="183">
        <f t="shared" si="3"/>
        <v>1.0979999999999999</v>
      </c>
      <c r="I28" s="182">
        <f t="shared" si="4"/>
        <v>6</v>
      </c>
      <c r="J28" s="183">
        <f t="shared" si="5"/>
        <v>1.0979999999999999</v>
      </c>
      <c r="K28" s="182">
        <f t="shared" si="6"/>
        <v>6</v>
      </c>
      <c r="L28" s="183">
        <f t="shared" si="7"/>
        <v>1.0979999999999999</v>
      </c>
      <c r="M28" s="182">
        <f t="shared" si="8"/>
        <v>6</v>
      </c>
      <c r="N28" s="183">
        <f t="shared" si="9"/>
        <v>1.0979999999999999</v>
      </c>
      <c r="O28" s="190">
        <v>0</v>
      </c>
      <c r="P28" s="190">
        <v>0</v>
      </c>
      <c r="Q28" s="190">
        <v>0</v>
      </c>
      <c r="R28" s="190">
        <v>0</v>
      </c>
      <c r="S28" s="190">
        <v>0</v>
      </c>
      <c r="T28" s="190">
        <v>0</v>
      </c>
      <c r="U28" s="190">
        <v>0</v>
      </c>
      <c r="V28" s="190">
        <v>0</v>
      </c>
      <c r="W28" s="190">
        <v>0</v>
      </c>
      <c r="X28" s="190">
        <v>0</v>
      </c>
      <c r="Y28" s="190">
        <v>0</v>
      </c>
      <c r="Z28" s="190">
        <v>0</v>
      </c>
    </row>
    <row r="29" spans="1:26" ht="12">
      <c r="A29" s="180">
        <v>20</v>
      </c>
      <c r="B29" s="181" t="s">
        <v>194</v>
      </c>
      <c r="C29" s="188">
        <f>'PERKOMODITI 2024'!R655</f>
        <v>0</v>
      </c>
      <c r="D29" s="183">
        <f>'PERKOMODITI 2024'!U655</f>
        <v>0</v>
      </c>
      <c r="E29" s="182">
        <f t="shared" si="0"/>
        <v>0</v>
      </c>
      <c r="F29" s="183">
        <f t="shared" si="1"/>
        <v>0</v>
      </c>
      <c r="G29" s="182">
        <f t="shared" si="2"/>
        <v>0</v>
      </c>
      <c r="H29" s="183">
        <f t="shared" si="3"/>
        <v>0</v>
      </c>
      <c r="I29" s="182">
        <f t="shared" si="4"/>
        <v>0</v>
      </c>
      <c r="J29" s="183">
        <f t="shared" si="5"/>
        <v>0</v>
      </c>
      <c r="K29" s="182">
        <f t="shared" si="6"/>
        <v>0</v>
      </c>
      <c r="L29" s="183">
        <f t="shared" si="7"/>
        <v>0</v>
      </c>
      <c r="M29" s="182">
        <f t="shared" si="8"/>
        <v>0</v>
      </c>
      <c r="N29" s="183">
        <f t="shared" si="9"/>
        <v>0</v>
      </c>
      <c r="O29" s="190">
        <v>0</v>
      </c>
      <c r="P29" s="190">
        <v>0</v>
      </c>
      <c r="Q29" s="190">
        <v>0</v>
      </c>
      <c r="R29" s="190">
        <v>0</v>
      </c>
      <c r="S29" s="190">
        <v>0</v>
      </c>
      <c r="T29" s="190">
        <v>0</v>
      </c>
      <c r="U29" s="190">
        <v>0</v>
      </c>
      <c r="V29" s="190">
        <v>0</v>
      </c>
      <c r="W29" s="190">
        <v>0</v>
      </c>
      <c r="X29" s="190">
        <v>0</v>
      </c>
      <c r="Y29" s="190">
        <v>0</v>
      </c>
      <c r="Z29" s="190">
        <v>0</v>
      </c>
    </row>
    <row r="30" spans="1:26" ht="12">
      <c r="A30" s="180">
        <v>21</v>
      </c>
      <c r="B30" s="181" t="s">
        <v>195</v>
      </c>
      <c r="C30" s="185" t="str">
        <f>'REKAP ATAP 2024'!E30</f>
        <v>-</v>
      </c>
      <c r="D30" s="183" t="str">
        <f>'REKAP ATAP 2024'!H30</f>
        <v>-</v>
      </c>
      <c r="E30" s="182" t="str">
        <f t="shared" si="0"/>
        <v>-</v>
      </c>
      <c r="F30" s="183" t="str">
        <f t="shared" si="1"/>
        <v>-</v>
      </c>
      <c r="G30" s="182" t="str">
        <f t="shared" si="2"/>
        <v>-</v>
      </c>
      <c r="H30" s="183" t="str">
        <f t="shared" si="3"/>
        <v>-</v>
      </c>
      <c r="I30" s="182" t="str">
        <f t="shared" si="4"/>
        <v>-</v>
      </c>
      <c r="J30" s="183" t="str">
        <f t="shared" si="5"/>
        <v>-</v>
      </c>
      <c r="K30" s="182" t="str">
        <f t="shared" si="6"/>
        <v>-</v>
      </c>
      <c r="L30" s="183" t="str">
        <f t="shared" si="7"/>
        <v>-</v>
      </c>
      <c r="M30" s="182" t="str">
        <f t="shared" si="8"/>
        <v>-</v>
      </c>
      <c r="N30" s="183" t="str">
        <f t="shared" si="9"/>
        <v>-</v>
      </c>
      <c r="O30" s="190">
        <v>0</v>
      </c>
      <c r="P30" s="190">
        <v>0</v>
      </c>
      <c r="Q30" s="190">
        <v>0</v>
      </c>
      <c r="R30" s="190">
        <v>0</v>
      </c>
      <c r="S30" s="190">
        <v>0</v>
      </c>
      <c r="T30" s="190">
        <v>0</v>
      </c>
      <c r="U30" s="190">
        <v>0</v>
      </c>
      <c r="V30" s="190">
        <v>0</v>
      </c>
      <c r="W30" s="190">
        <v>0</v>
      </c>
      <c r="X30" s="190">
        <v>0</v>
      </c>
      <c r="Y30" s="190">
        <v>0</v>
      </c>
      <c r="Z30" s="190">
        <v>0</v>
      </c>
    </row>
    <row r="32" spans="1:26">
      <c r="S32" s="191"/>
      <c r="T32" s="192"/>
      <c r="U32" s="192"/>
      <c r="V32" s="192"/>
      <c r="W32" s="191"/>
      <c r="X32" s="192"/>
      <c r="Y32" s="192"/>
      <c r="Z32" s="192"/>
    </row>
    <row r="33" spans="9:30" ht="12">
      <c r="S33" s="191"/>
      <c r="T33" s="192"/>
      <c r="U33" s="685" t="s">
        <v>312</v>
      </c>
      <c r="V33" s="685"/>
      <c r="W33" s="685"/>
      <c r="X33" s="685"/>
      <c r="Y33" s="192"/>
      <c r="Z33" s="192"/>
    </row>
    <row r="34" spans="9:30" ht="11.1" customHeight="1">
      <c r="I34" s="191"/>
      <c r="J34" s="192"/>
      <c r="K34" s="192"/>
      <c r="L34" s="192"/>
      <c r="S34" s="191"/>
      <c r="T34" s="192"/>
      <c r="U34" s="686"/>
      <c r="V34" s="686"/>
      <c r="W34" s="686"/>
      <c r="X34" s="686"/>
      <c r="Y34" s="192"/>
      <c r="Z34" s="192"/>
      <c r="AD34" s="194"/>
    </row>
    <row r="35" spans="9:30" ht="11.1" customHeight="1">
      <c r="I35" s="686"/>
      <c r="J35" s="686"/>
      <c r="K35" s="686"/>
      <c r="L35" s="686"/>
      <c r="S35" s="191"/>
      <c r="T35" s="192"/>
      <c r="U35" s="683" t="s">
        <v>165</v>
      </c>
      <c r="V35" s="683"/>
      <c r="W35" s="683"/>
      <c r="X35" s="683"/>
      <c r="Y35" s="192"/>
      <c r="Z35" s="192"/>
    </row>
    <row r="36" spans="9:30" ht="11.1" customHeight="1">
      <c r="I36" s="683"/>
      <c r="J36" s="683"/>
      <c r="K36" s="683"/>
      <c r="L36" s="683"/>
      <c r="S36" s="191"/>
      <c r="T36" s="192"/>
      <c r="U36" s="683" t="s">
        <v>166</v>
      </c>
      <c r="V36" s="683"/>
      <c r="W36" s="683"/>
      <c r="X36" s="683"/>
      <c r="Y36" s="192"/>
      <c r="Z36" s="192"/>
    </row>
    <row r="37" spans="9:30" ht="11.1" customHeight="1">
      <c r="I37" s="683"/>
      <c r="J37" s="683"/>
      <c r="K37" s="683"/>
      <c r="L37" s="683"/>
      <c r="S37" s="191"/>
      <c r="T37" s="192"/>
      <c r="U37" s="194"/>
      <c r="V37" s="194"/>
      <c r="W37" s="194"/>
      <c r="X37" s="194"/>
      <c r="Y37" s="192"/>
      <c r="Z37" s="192"/>
    </row>
    <row r="38" spans="9:30" ht="11.1" customHeight="1">
      <c r="I38" s="194"/>
      <c r="J38" s="194"/>
      <c r="K38" s="194"/>
      <c r="L38" s="194"/>
      <c r="S38" s="191"/>
      <c r="T38" s="192"/>
      <c r="U38" s="194"/>
      <c r="V38" s="194"/>
      <c r="W38" s="194"/>
      <c r="X38" s="194"/>
      <c r="Y38" s="192"/>
      <c r="Z38" s="192"/>
    </row>
    <row r="39" spans="9:30" ht="11.1" customHeight="1">
      <c r="I39" s="194"/>
      <c r="J39" s="194"/>
      <c r="K39" s="194"/>
      <c r="L39" s="194"/>
      <c r="S39" s="191"/>
      <c r="T39" s="192"/>
      <c r="U39" s="194"/>
      <c r="V39" s="194"/>
      <c r="W39" s="194"/>
      <c r="X39" s="194"/>
      <c r="Y39" s="192"/>
      <c r="Z39" s="192"/>
    </row>
    <row r="40" spans="9:30" ht="11.1" customHeight="1">
      <c r="I40" s="194"/>
      <c r="J40" s="194"/>
      <c r="K40" s="194"/>
      <c r="L40" s="194"/>
      <c r="S40" s="191"/>
      <c r="T40" s="192"/>
      <c r="U40" s="194"/>
      <c r="V40" s="194"/>
      <c r="W40" s="194"/>
      <c r="X40" s="194"/>
      <c r="Y40" s="192"/>
      <c r="Z40" s="192"/>
    </row>
    <row r="41" spans="9:30" ht="11.1" customHeight="1">
      <c r="I41" s="684"/>
      <c r="J41" s="684"/>
      <c r="K41" s="684"/>
      <c r="L41" s="684"/>
      <c r="S41" s="191"/>
      <c r="T41" s="192"/>
      <c r="U41" s="672" t="s">
        <v>315</v>
      </c>
      <c r="V41" s="672"/>
      <c r="W41" s="672"/>
      <c r="X41" s="672"/>
      <c r="Y41" s="192"/>
      <c r="Z41" s="192"/>
    </row>
    <row r="42" spans="9:30" ht="12.75">
      <c r="I42" s="683"/>
      <c r="J42" s="683"/>
      <c r="K42" s="683"/>
      <c r="L42" s="683"/>
      <c r="S42" s="193"/>
      <c r="T42" s="193"/>
      <c r="U42" s="671" t="s">
        <v>316</v>
      </c>
      <c r="V42" s="671"/>
      <c r="W42" s="671"/>
      <c r="X42" s="671"/>
      <c r="Y42" s="193"/>
      <c r="Z42" s="193"/>
    </row>
    <row r="43" spans="9:30">
      <c r="S43" s="194"/>
      <c r="T43" s="194"/>
      <c r="U43" s="193"/>
      <c r="V43" s="193"/>
      <c r="W43" s="193"/>
      <c r="X43" s="193"/>
      <c r="Y43" s="194"/>
      <c r="Z43" s="194"/>
    </row>
    <row r="44" spans="9:30">
      <c r="S44" s="194"/>
      <c r="T44" s="194"/>
      <c r="U44" s="194"/>
      <c r="V44" s="194"/>
      <c r="W44" s="194"/>
      <c r="X44" s="194"/>
      <c r="Y44" s="194"/>
      <c r="Z44" s="194"/>
    </row>
    <row r="45" spans="9:30">
      <c r="S45" s="194"/>
      <c r="T45" s="194"/>
      <c r="U45" s="194"/>
      <c r="V45" s="194"/>
      <c r="W45" s="194"/>
      <c r="X45" s="194"/>
      <c r="Y45" s="194"/>
      <c r="Z45" s="194"/>
    </row>
    <row r="46" spans="9:30">
      <c r="S46" s="194"/>
      <c r="T46" s="194"/>
      <c r="U46" s="194"/>
      <c r="V46" s="194"/>
      <c r="W46" s="194"/>
      <c r="X46" s="194"/>
      <c r="Y46" s="194"/>
      <c r="Z46" s="194"/>
    </row>
    <row r="47" spans="9:30">
      <c r="S47" s="194"/>
      <c r="T47" s="194"/>
      <c r="U47" s="194"/>
      <c r="V47" s="194"/>
      <c r="W47" s="194"/>
      <c r="X47" s="194"/>
      <c r="Y47" s="194"/>
      <c r="Z47" s="194"/>
    </row>
    <row r="48" spans="9:30">
      <c r="S48" s="195"/>
      <c r="T48" s="195"/>
      <c r="U48" s="194"/>
      <c r="V48" s="194"/>
      <c r="W48" s="194"/>
      <c r="X48" s="194"/>
      <c r="Y48" s="195"/>
      <c r="Z48" s="195"/>
    </row>
    <row r="49" spans="19:26">
      <c r="S49" s="194"/>
      <c r="T49" s="194"/>
      <c r="U49" s="195"/>
      <c r="V49" s="195"/>
      <c r="W49" s="195"/>
      <c r="X49" s="195"/>
      <c r="Y49" s="194"/>
      <c r="Z49" s="194"/>
    </row>
    <row r="50" spans="19:26">
      <c r="S50" s="199"/>
      <c r="T50" s="200"/>
      <c r="U50" s="194"/>
      <c r="V50" s="194"/>
      <c r="W50" s="194"/>
      <c r="X50" s="194"/>
    </row>
    <row r="51" spans="19:26">
      <c r="S51" s="199"/>
      <c r="T51" s="201"/>
      <c r="U51" s="200"/>
      <c r="V51" s="200"/>
    </row>
    <row r="52" spans="19:26">
      <c r="S52" s="199"/>
      <c r="T52" s="201"/>
      <c r="U52" s="201"/>
      <c r="V52" s="201"/>
    </row>
    <row r="53" spans="19:26">
      <c r="U53" s="201"/>
      <c r="V53" s="201"/>
    </row>
  </sheetData>
  <mergeCells count="26">
    <mergeCell ref="A2:Z2"/>
    <mergeCell ref="A3:Z3"/>
    <mergeCell ref="A4:Z4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U33:X33"/>
    <mergeCell ref="U34:X34"/>
    <mergeCell ref="I35:L35"/>
    <mergeCell ref="U35:X35"/>
    <mergeCell ref="I36:L36"/>
    <mergeCell ref="U36:X36"/>
    <mergeCell ref="I37:L37"/>
    <mergeCell ref="I41:L41"/>
    <mergeCell ref="U41:X41"/>
    <mergeCell ref="I42:L42"/>
    <mergeCell ref="U42:X42"/>
  </mergeCells>
  <printOptions horizontalCentered="1"/>
  <pageMargins left="0.196850393700787" right="0.118110236220472" top="0.98425196850393704" bottom="0.74803149606299202" header="0.31496062992126" footer="0.31496062992126"/>
  <pageSetup paperSize="14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workbookViewId="0">
      <selection activeCell="E10" sqref="E10"/>
    </sheetView>
  </sheetViews>
  <sheetFormatPr defaultColWidth="9.140625" defaultRowHeight="12"/>
  <cols>
    <col min="1" max="1" width="5" style="58" customWidth="1"/>
    <col min="2" max="2" width="13.140625" style="58" customWidth="1"/>
    <col min="3" max="10" width="12.140625" style="58" customWidth="1"/>
    <col min="11" max="11" width="7.7109375" style="58" customWidth="1"/>
    <col min="12" max="16384" width="9.140625" style="58"/>
  </cols>
  <sheetData>
    <row r="2" spans="1:11" ht="12.75" customHeight="1">
      <c r="A2" s="697" t="s">
        <v>196</v>
      </c>
      <c r="B2" s="697"/>
      <c r="C2" s="697"/>
      <c r="D2" s="697"/>
      <c r="E2" s="697"/>
      <c r="F2" s="697"/>
      <c r="G2" s="697"/>
      <c r="H2" s="697"/>
      <c r="I2" s="697"/>
      <c r="J2" s="697"/>
      <c r="K2" s="80"/>
    </row>
    <row r="3" spans="1:11" ht="12.75" customHeight="1">
      <c r="A3" s="697" t="s">
        <v>197</v>
      </c>
      <c r="B3" s="697"/>
      <c r="C3" s="697"/>
      <c r="D3" s="697"/>
      <c r="E3" s="697"/>
      <c r="F3" s="697"/>
      <c r="G3" s="697"/>
      <c r="H3" s="697"/>
      <c r="I3" s="697"/>
      <c r="J3" s="697"/>
      <c r="K3" s="80"/>
    </row>
    <row r="4" spans="1:11" ht="12.75" customHeight="1">
      <c r="A4" s="697" t="s">
        <v>198</v>
      </c>
      <c r="B4" s="697"/>
      <c r="C4" s="697"/>
      <c r="D4" s="697"/>
      <c r="E4" s="697"/>
      <c r="F4" s="697"/>
      <c r="G4" s="697"/>
      <c r="H4" s="697"/>
      <c r="I4" s="697"/>
      <c r="J4" s="697"/>
      <c r="K4" s="80"/>
    </row>
    <row r="5" spans="1:11">
      <c r="A5" s="150"/>
      <c r="B5" s="150"/>
      <c r="C5" s="150"/>
      <c r="D5" s="150"/>
      <c r="E5" s="150"/>
      <c r="F5" s="150"/>
      <c r="G5" s="150"/>
      <c r="H5" s="150"/>
      <c r="I5" s="150"/>
      <c r="J5" s="150"/>
    </row>
    <row r="6" spans="1:11">
      <c r="A6" s="151"/>
      <c r="B6" s="151"/>
      <c r="C6" s="698" t="s">
        <v>171</v>
      </c>
      <c r="D6" s="699"/>
      <c r="E6" s="699"/>
      <c r="F6" s="699"/>
      <c r="G6" s="699"/>
      <c r="H6" s="699"/>
      <c r="I6" s="699"/>
      <c r="J6" s="700"/>
    </row>
    <row r="7" spans="1:11">
      <c r="A7" s="152" t="s">
        <v>118</v>
      </c>
      <c r="B7" s="152" t="s">
        <v>61</v>
      </c>
      <c r="C7" s="698" t="s">
        <v>199</v>
      </c>
      <c r="D7" s="700"/>
      <c r="E7" s="698" t="s">
        <v>200</v>
      </c>
      <c r="F7" s="700"/>
      <c r="G7" s="698" t="s">
        <v>201</v>
      </c>
      <c r="H7" s="700"/>
      <c r="I7" s="698" t="s">
        <v>202</v>
      </c>
      <c r="J7" s="700"/>
    </row>
    <row r="8" spans="1:11">
      <c r="A8" s="153"/>
      <c r="B8" s="153"/>
      <c r="C8" s="154" t="s">
        <v>13</v>
      </c>
      <c r="D8" s="155" t="s">
        <v>120</v>
      </c>
      <c r="E8" s="154" t="s">
        <v>13</v>
      </c>
      <c r="F8" s="155" t="s">
        <v>120</v>
      </c>
      <c r="G8" s="154" t="s">
        <v>13</v>
      </c>
      <c r="H8" s="155" t="s">
        <v>120</v>
      </c>
      <c r="I8" s="154" t="s">
        <v>13</v>
      </c>
      <c r="J8" s="155" t="s">
        <v>120</v>
      </c>
    </row>
    <row r="9" spans="1:11">
      <c r="A9" s="156"/>
      <c r="B9" s="156"/>
      <c r="C9" s="157" t="s">
        <v>186</v>
      </c>
      <c r="D9" s="157" t="s">
        <v>203</v>
      </c>
      <c r="E9" s="157" t="s">
        <v>203</v>
      </c>
      <c r="F9" s="157" t="s">
        <v>203</v>
      </c>
      <c r="G9" s="157" t="s">
        <v>203</v>
      </c>
      <c r="H9" s="157" t="s">
        <v>203</v>
      </c>
      <c r="I9" s="157" t="s">
        <v>203</v>
      </c>
      <c r="J9" s="157" t="s">
        <v>203</v>
      </c>
    </row>
    <row r="10" spans="1:11" ht="12.75">
      <c r="A10" s="158">
        <v>1</v>
      </c>
      <c r="B10" s="159" t="s">
        <v>15</v>
      </c>
      <c r="C10" s="160">
        <f>'PERKOMODITI 2024'!R21</f>
        <v>1473</v>
      </c>
      <c r="D10" s="161">
        <f>'PERKOMODITI 2024'!U21</f>
        <v>1330.1190000000001</v>
      </c>
      <c r="E10" s="160">
        <f>'LA Perbulan'!C10</f>
        <v>1473</v>
      </c>
      <c r="F10" s="161">
        <f>'LA Perbulan'!D10</f>
        <v>1330.1190000000001</v>
      </c>
      <c r="G10" s="162">
        <f>'LA Perbulan'!Q10</f>
        <v>0</v>
      </c>
      <c r="H10" s="163">
        <f>'LA Perbulan'!P10</f>
        <v>0</v>
      </c>
      <c r="I10" s="168">
        <f>G10</f>
        <v>0</v>
      </c>
      <c r="J10" s="163">
        <f>H10</f>
        <v>0</v>
      </c>
    </row>
    <row r="11" spans="1:11" ht="12.75">
      <c r="A11" s="158">
        <v>2</v>
      </c>
      <c r="B11" s="159" t="s">
        <v>17</v>
      </c>
      <c r="C11" s="164">
        <f>'PERKOMODITI 2024'!R198</f>
        <v>1249.3</v>
      </c>
      <c r="D11" s="161">
        <f>'PERKOMODITI 2024'!U198</f>
        <v>1124.3699999999999</v>
      </c>
      <c r="E11" s="160">
        <f>'LA Perbulan'!C11</f>
        <v>1249.3</v>
      </c>
      <c r="F11" s="161">
        <f>'LA Perbulan'!D11</f>
        <v>1124.3699999999999</v>
      </c>
      <c r="G11" s="162">
        <f>'LA Perbulan'!Q11</f>
        <v>0</v>
      </c>
      <c r="H11" s="163">
        <f>'LA Perbulan'!P11</f>
        <v>0</v>
      </c>
      <c r="I11" s="168">
        <f t="shared" ref="I11:I30" si="0">G11</f>
        <v>0</v>
      </c>
      <c r="J11" s="163">
        <f t="shared" ref="J11:J30" si="1">H11</f>
        <v>0</v>
      </c>
    </row>
    <row r="12" spans="1:11" ht="12.75">
      <c r="A12" s="158">
        <v>3</v>
      </c>
      <c r="B12" s="159" t="s">
        <v>16</v>
      </c>
      <c r="C12" s="164">
        <f>'PERKOMODITI 2024'!R68</f>
        <v>23374</v>
      </c>
      <c r="D12" s="161">
        <f>'PERKOMODITI 2024'!U68</f>
        <v>80778.907819999993</v>
      </c>
      <c r="E12" s="160">
        <f>'LA Perbulan'!C12</f>
        <v>23374</v>
      </c>
      <c r="F12" s="161">
        <f>'LA Perbulan'!D12</f>
        <v>80778.907819999993</v>
      </c>
      <c r="G12" s="162">
        <f>'LA Perbulan'!Q12</f>
        <v>0</v>
      </c>
      <c r="H12" s="163">
        <f>'LA Perbulan'!P12</f>
        <v>0</v>
      </c>
      <c r="I12" s="168">
        <f t="shared" si="0"/>
        <v>0</v>
      </c>
      <c r="J12" s="163">
        <f t="shared" si="1"/>
        <v>0</v>
      </c>
    </row>
    <row r="13" spans="1:11" ht="12.75">
      <c r="A13" s="158">
        <v>4</v>
      </c>
      <c r="B13" s="159" t="s">
        <v>188</v>
      </c>
      <c r="C13" s="159">
        <f>'PERKOMODITI 2024'!R381</f>
        <v>10</v>
      </c>
      <c r="D13" s="161">
        <f>'PERKOMODITI 2024'!U381</f>
        <v>5.1400000000000006</v>
      </c>
      <c r="E13" s="160">
        <f>'LA Perbulan'!C13</f>
        <v>10</v>
      </c>
      <c r="F13" s="161">
        <f>'LA Perbulan'!D13</f>
        <v>5.1400000000000006</v>
      </c>
      <c r="G13" s="162">
        <f>'LA Perbulan'!Q13</f>
        <v>0</v>
      </c>
      <c r="H13" s="163">
        <f>'LA Perbulan'!P13</f>
        <v>0</v>
      </c>
      <c r="I13" s="168">
        <f t="shared" si="0"/>
        <v>0</v>
      </c>
      <c r="J13" s="163">
        <f t="shared" si="1"/>
        <v>0</v>
      </c>
    </row>
    <row r="14" spans="1:11" ht="12.75">
      <c r="A14" s="158">
        <v>5</v>
      </c>
      <c r="B14" s="159" t="s">
        <v>23</v>
      </c>
      <c r="C14" s="159">
        <f>'PERKOMODITI 2024'!R106</f>
        <v>74</v>
      </c>
      <c r="D14" s="161">
        <f>'PERKOMODITI 2024'!U106</f>
        <v>64.231999999999999</v>
      </c>
      <c r="E14" s="160">
        <f>'LA Perbulan'!C14</f>
        <v>74</v>
      </c>
      <c r="F14" s="161">
        <f>'LA Perbulan'!D14</f>
        <v>64.231999999999999</v>
      </c>
      <c r="G14" s="162">
        <f>'LA Perbulan'!Q14</f>
        <v>0</v>
      </c>
      <c r="H14" s="163">
        <f>'LA Perbulan'!P14</f>
        <v>0</v>
      </c>
      <c r="I14" s="168">
        <f t="shared" si="0"/>
        <v>0</v>
      </c>
      <c r="J14" s="163">
        <f t="shared" si="1"/>
        <v>0</v>
      </c>
    </row>
    <row r="15" spans="1:11" ht="12.75">
      <c r="A15" s="158">
        <v>6</v>
      </c>
      <c r="B15" s="159" t="s">
        <v>28</v>
      </c>
      <c r="C15" s="159">
        <f>'PERKOMODITI 2024'!R499</f>
        <v>159</v>
      </c>
      <c r="D15" s="161">
        <f>'PERKOMODITI 2024'!U499</f>
        <v>70.436999999999998</v>
      </c>
      <c r="E15" s="160">
        <f>'LA Perbulan'!C15</f>
        <v>159</v>
      </c>
      <c r="F15" s="161">
        <f>'LA Perbulan'!D15</f>
        <v>70.436999999999998</v>
      </c>
      <c r="G15" s="162">
        <f>'LA Perbulan'!Q15</f>
        <v>0</v>
      </c>
      <c r="H15" s="163">
        <f>'LA Perbulan'!P15</f>
        <v>0</v>
      </c>
      <c r="I15" s="168">
        <f t="shared" si="0"/>
        <v>0</v>
      </c>
      <c r="J15" s="163">
        <f t="shared" si="1"/>
        <v>0</v>
      </c>
    </row>
    <row r="16" spans="1:11" ht="12.75">
      <c r="A16" s="158">
        <v>7</v>
      </c>
      <c r="B16" s="159" t="s">
        <v>31</v>
      </c>
      <c r="C16" s="165">
        <f>'PERKOMODITI 2024'!R620</f>
        <v>0</v>
      </c>
      <c r="D16" s="161">
        <f>'PERKOMODITI 2024'!U620</f>
        <v>0</v>
      </c>
      <c r="E16" s="160">
        <f>'LA Perbulan'!C16</f>
        <v>0</v>
      </c>
      <c r="F16" s="161">
        <f>'LA Perbulan'!D16</f>
        <v>0</v>
      </c>
      <c r="G16" s="162">
        <f>'LA Perbulan'!Q16</f>
        <v>0</v>
      </c>
      <c r="H16" s="163">
        <f>'LA Perbulan'!P16</f>
        <v>0</v>
      </c>
      <c r="I16" s="168">
        <f t="shared" si="0"/>
        <v>0</v>
      </c>
      <c r="J16" s="163">
        <f t="shared" si="1"/>
        <v>0</v>
      </c>
    </row>
    <row r="17" spans="1:10" ht="12.75">
      <c r="A17" s="158">
        <v>8</v>
      </c>
      <c r="B17" s="159" t="s">
        <v>189</v>
      </c>
      <c r="C17" s="159" t="str">
        <f>'REKAP ATAP 2024'!E17</f>
        <v>-</v>
      </c>
      <c r="D17" s="161" t="str">
        <f>'REKAP ATAP 2024'!H17</f>
        <v>-</v>
      </c>
      <c r="E17" s="160" t="str">
        <f>'LA Perbulan'!C17</f>
        <v>-</v>
      </c>
      <c r="F17" s="161" t="str">
        <f>'LA Perbulan'!D17</f>
        <v>-</v>
      </c>
      <c r="G17" s="162">
        <f>'LA Perbulan'!Q17</f>
        <v>0</v>
      </c>
      <c r="H17" s="163">
        <f>'LA Perbulan'!P17</f>
        <v>0</v>
      </c>
      <c r="I17" s="168">
        <f t="shared" si="0"/>
        <v>0</v>
      </c>
      <c r="J17" s="163">
        <f t="shared" si="1"/>
        <v>0</v>
      </c>
    </row>
    <row r="18" spans="1:10" ht="12.75">
      <c r="A18" s="158">
        <v>9</v>
      </c>
      <c r="B18" s="159" t="s">
        <v>24</v>
      </c>
      <c r="C18" s="159">
        <f>'PERKOMODITI 2024'!R461</f>
        <v>2</v>
      </c>
      <c r="D18" s="161">
        <f>'PERKOMODITI 2024'!U461</f>
        <v>1</v>
      </c>
      <c r="E18" s="160">
        <f>'LA Perbulan'!C18</f>
        <v>2</v>
      </c>
      <c r="F18" s="161">
        <f>'LA Perbulan'!D18</f>
        <v>1</v>
      </c>
      <c r="G18" s="162">
        <f>'LA Perbulan'!Q18</f>
        <v>0</v>
      </c>
      <c r="H18" s="163">
        <f>'LA Perbulan'!P18</f>
        <v>0</v>
      </c>
      <c r="I18" s="168">
        <f t="shared" si="0"/>
        <v>0</v>
      </c>
      <c r="J18" s="163">
        <f t="shared" si="1"/>
        <v>0</v>
      </c>
    </row>
    <row r="19" spans="1:10" ht="12.75">
      <c r="A19" s="158">
        <v>10</v>
      </c>
      <c r="B19" s="159" t="s">
        <v>190</v>
      </c>
      <c r="C19" s="159" t="str">
        <f>'REKAP ATAP 2024'!E19</f>
        <v>-</v>
      </c>
      <c r="D19" s="161" t="str">
        <f>'REKAP ATAP 2024'!H19</f>
        <v>-</v>
      </c>
      <c r="E19" s="160" t="str">
        <f>'LA Perbulan'!C19</f>
        <v>-</v>
      </c>
      <c r="F19" s="161" t="str">
        <f>'LA Perbulan'!D19</f>
        <v>-</v>
      </c>
      <c r="G19" s="162">
        <f>'LA Perbulan'!Q19</f>
        <v>0</v>
      </c>
      <c r="H19" s="163">
        <f>'LA Perbulan'!P19</f>
        <v>0</v>
      </c>
      <c r="I19" s="168">
        <f t="shared" si="0"/>
        <v>0</v>
      </c>
      <c r="J19" s="163">
        <f t="shared" si="1"/>
        <v>0</v>
      </c>
    </row>
    <row r="20" spans="1:10" ht="12.75">
      <c r="A20" s="158">
        <v>11</v>
      </c>
      <c r="B20" s="159" t="s">
        <v>29</v>
      </c>
      <c r="C20" s="159">
        <f>'PERKOMODITI 2024'!R544</f>
        <v>53</v>
      </c>
      <c r="D20" s="161">
        <f>'PERKOMODITI 2024'!U544</f>
        <v>15.899999999999999</v>
      </c>
      <c r="E20" s="160">
        <f>'LA Perbulan'!C20</f>
        <v>53</v>
      </c>
      <c r="F20" s="161">
        <f>'LA Perbulan'!D20</f>
        <v>15.899999999999999</v>
      </c>
      <c r="G20" s="162">
        <f>'LA Perbulan'!Q20</f>
        <v>0</v>
      </c>
      <c r="H20" s="163">
        <f>'LA Perbulan'!P20</f>
        <v>0</v>
      </c>
      <c r="I20" s="168">
        <f t="shared" si="0"/>
        <v>0</v>
      </c>
      <c r="J20" s="163">
        <f t="shared" si="1"/>
        <v>0</v>
      </c>
    </row>
    <row r="21" spans="1:10" ht="12.75">
      <c r="A21" s="158">
        <v>12</v>
      </c>
      <c r="B21" s="159" t="s">
        <v>21</v>
      </c>
      <c r="C21" s="159">
        <f>'PERKOMODITI 2024'!R151</f>
        <v>305</v>
      </c>
      <c r="D21" s="161">
        <f>'PERKOMODITI 2024'!U151</f>
        <v>122</v>
      </c>
      <c r="E21" s="160">
        <f>'LA Perbulan'!C21</f>
        <v>305</v>
      </c>
      <c r="F21" s="161">
        <f>'LA Perbulan'!D21</f>
        <v>122</v>
      </c>
      <c r="G21" s="162">
        <f>'LA Perbulan'!Q21</f>
        <v>0</v>
      </c>
      <c r="H21" s="163">
        <f>'LA Perbulan'!P21</f>
        <v>0</v>
      </c>
      <c r="I21" s="168">
        <f t="shared" si="0"/>
        <v>0</v>
      </c>
      <c r="J21" s="163">
        <f t="shared" si="1"/>
        <v>0</v>
      </c>
    </row>
    <row r="22" spans="1:10" ht="12.75">
      <c r="A22" s="158">
        <v>13</v>
      </c>
      <c r="B22" s="159" t="s">
        <v>191</v>
      </c>
      <c r="C22" s="159">
        <f>'PERKOMODITI 2024'!R424</f>
        <v>1</v>
      </c>
      <c r="D22" s="161">
        <f>'PERKOMODITI 2024'!U424</f>
        <v>0.21</v>
      </c>
      <c r="E22" s="160">
        <f>'LA Perbulan'!C22</f>
        <v>1</v>
      </c>
      <c r="F22" s="161">
        <f>'LA Perbulan'!D22</f>
        <v>0.21</v>
      </c>
      <c r="G22" s="162">
        <f>'LA Perbulan'!Q22</f>
        <v>0</v>
      </c>
      <c r="H22" s="163">
        <f>'LA Perbulan'!P22</f>
        <v>0</v>
      </c>
      <c r="I22" s="168">
        <f t="shared" si="0"/>
        <v>0</v>
      </c>
      <c r="J22" s="163">
        <f t="shared" si="1"/>
        <v>0</v>
      </c>
    </row>
    <row r="23" spans="1:10" ht="12.75">
      <c r="A23" s="158">
        <v>14</v>
      </c>
      <c r="B23" s="159" t="s">
        <v>30</v>
      </c>
      <c r="C23" s="159">
        <f>'PERKOMODITI 2024'!R581</f>
        <v>0</v>
      </c>
      <c r="D23" s="161">
        <f>'PERKOMODITI 2024'!U581</f>
        <v>0</v>
      </c>
      <c r="E23" s="160">
        <f>'LA Perbulan'!C23</f>
        <v>0</v>
      </c>
      <c r="F23" s="161">
        <f>'LA Perbulan'!D23</f>
        <v>0</v>
      </c>
      <c r="G23" s="162">
        <f>'LA Perbulan'!Q23</f>
        <v>0</v>
      </c>
      <c r="H23" s="163">
        <f>'LA Perbulan'!P23</f>
        <v>0</v>
      </c>
      <c r="I23" s="168">
        <f t="shared" si="0"/>
        <v>0</v>
      </c>
      <c r="J23" s="163">
        <f t="shared" si="1"/>
        <v>0</v>
      </c>
    </row>
    <row r="24" spans="1:10" ht="12.75">
      <c r="A24" s="158">
        <v>15</v>
      </c>
      <c r="B24" s="159" t="s">
        <v>26</v>
      </c>
      <c r="C24" s="159">
        <f>'PERKOMODITI 2024'!R245</f>
        <v>145</v>
      </c>
      <c r="D24" s="161">
        <f>'PERKOMODITI 2024'!U245</f>
        <v>54.23</v>
      </c>
      <c r="E24" s="160">
        <f>'LA Perbulan'!C24</f>
        <v>145</v>
      </c>
      <c r="F24" s="161">
        <f>'LA Perbulan'!D24</f>
        <v>54.23</v>
      </c>
      <c r="G24" s="162">
        <f>'LA Perbulan'!Q24</f>
        <v>0</v>
      </c>
      <c r="H24" s="163">
        <f>'LA Perbulan'!P24</f>
        <v>0</v>
      </c>
      <c r="I24" s="168">
        <f t="shared" si="0"/>
        <v>0</v>
      </c>
      <c r="J24" s="163">
        <f t="shared" si="1"/>
        <v>0</v>
      </c>
    </row>
    <row r="25" spans="1:10" ht="12.75">
      <c r="A25" s="158">
        <v>16</v>
      </c>
      <c r="B25" s="159" t="s">
        <v>27</v>
      </c>
      <c r="C25" s="166">
        <f>'PERKOMODITI 2024'!R336</f>
        <v>19</v>
      </c>
      <c r="D25" s="161">
        <f>'PERKOMODITI 2024'!U336</f>
        <v>2.8689999999999998</v>
      </c>
      <c r="E25" s="160">
        <f>'LA Perbulan'!C25</f>
        <v>19</v>
      </c>
      <c r="F25" s="161">
        <f>'LA Perbulan'!D25</f>
        <v>2.8689999999999998</v>
      </c>
      <c r="G25" s="162">
        <f>'LA Perbulan'!Q25</f>
        <v>0</v>
      </c>
      <c r="H25" s="163">
        <f>'LA Perbulan'!P25</f>
        <v>0</v>
      </c>
      <c r="I25" s="168">
        <f t="shared" si="0"/>
        <v>0</v>
      </c>
      <c r="J25" s="163">
        <f t="shared" si="1"/>
        <v>0</v>
      </c>
    </row>
    <row r="26" spans="1:10" ht="12.75">
      <c r="A26" s="158">
        <v>17</v>
      </c>
      <c r="B26" s="159" t="s">
        <v>192</v>
      </c>
      <c r="C26" s="159" t="str">
        <f>'REKAP ATAP 2024'!E26</f>
        <v>-</v>
      </c>
      <c r="D26" s="161" t="str">
        <f>'REKAP ATAP 2024'!H26</f>
        <v>-</v>
      </c>
      <c r="E26" s="160" t="str">
        <f>'LA Perbulan'!C26</f>
        <v>-</v>
      </c>
      <c r="F26" s="161" t="str">
        <f>'LA Perbulan'!D26</f>
        <v>-</v>
      </c>
      <c r="G26" s="162">
        <f>'LA Perbulan'!Q26</f>
        <v>0</v>
      </c>
      <c r="H26" s="163">
        <f>'LA Perbulan'!P26</f>
        <v>0</v>
      </c>
      <c r="I26" s="168">
        <f t="shared" si="0"/>
        <v>0</v>
      </c>
      <c r="J26" s="163">
        <f t="shared" si="1"/>
        <v>0</v>
      </c>
    </row>
    <row r="27" spans="1:10" ht="12.75">
      <c r="A27" s="158">
        <v>18</v>
      </c>
      <c r="B27" s="159" t="s">
        <v>193</v>
      </c>
      <c r="C27" s="159" t="str">
        <f>'REKAP ATAP 2024'!E27</f>
        <v>-</v>
      </c>
      <c r="D27" s="161" t="str">
        <f>'REKAP ATAP 2024'!H27</f>
        <v>-</v>
      </c>
      <c r="E27" s="160" t="str">
        <f>'LA Perbulan'!C27</f>
        <v>-</v>
      </c>
      <c r="F27" s="161" t="str">
        <f>'LA Perbulan'!D27</f>
        <v>-</v>
      </c>
      <c r="G27" s="162">
        <f>'LA Perbulan'!Q27</f>
        <v>0</v>
      </c>
      <c r="H27" s="163">
        <f>'LA Perbulan'!P27</f>
        <v>0</v>
      </c>
      <c r="I27" s="168">
        <f t="shared" si="0"/>
        <v>0</v>
      </c>
      <c r="J27" s="163">
        <f t="shared" si="1"/>
        <v>0</v>
      </c>
    </row>
    <row r="28" spans="1:10" ht="12.75">
      <c r="A28" s="158">
        <v>19</v>
      </c>
      <c r="B28" s="159" t="s">
        <v>19</v>
      </c>
      <c r="C28" s="166">
        <f>'PERKOMODITI 2024'!R291</f>
        <v>6</v>
      </c>
      <c r="D28" s="161">
        <f>'PERKOMODITI 2024'!U291</f>
        <v>1.0979999999999999</v>
      </c>
      <c r="E28" s="160">
        <f>'LA Perbulan'!C28</f>
        <v>6</v>
      </c>
      <c r="F28" s="161">
        <f>'LA Perbulan'!D28</f>
        <v>1.0979999999999999</v>
      </c>
      <c r="G28" s="162">
        <f>'LA Perbulan'!Q28</f>
        <v>0</v>
      </c>
      <c r="H28" s="163">
        <f>'LA Perbulan'!P28</f>
        <v>0</v>
      </c>
      <c r="I28" s="168">
        <f t="shared" si="0"/>
        <v>0</v>
      </c>
      <c r="J28" s="163">
        <f t="shared" si="1"/>
        <v>0</v>
      </c>
    </row>
    <row r="29" spans="1:10" ht="12.75">
      <c r="A29" s="158">
        <v>20</v>
      </c>
      <c r="B29" s="159" t="s">
        <v>194</v>
      </c>
      <c r="C29" s="166">
        <f>'PERKOMODITI 2024'!R655</f>
        <v>0</v>
      </c>
      <c r="D29" s="161">
        <f>'PERKOMODITI 2024'!U655</f>
        <v>0</v>
      </c>
      <c r="E29" s="160">
        <f>'LA Perbulan'!C29</f>
        <v>0</v>
      </c>
      <c r="F29" s="161">
        <f>'LA Perbulan'!D29</f>
        <v>0</v>
      </c>
      <c r="G29" s="162">
        <f>'LA Perbulan'!Q29</f>
        <v>0</v>
      </c>
      <c r="H29" s="163">
        <f>'LA Perbulan'!P29</f>
        <v>0</v>
      </c>
      <c r="I29" s="168">
        <f t="shared" si="0"/>
        <v>0</v>
      </c>
      <c r="J29" s="163">
        <f t="shared" si="1"/>
        <v>0</v>
      </c>
    </row>
    <row r="30" spans="1:10" ht="12.75">
      <c r="A30" s="167">
        <v>21</v>
      </c>
      <c r="B30" s="159" t="s">
        <v>195</v>
      </c>
      <c r="C30" s="159" t="str">
        <f>'REKAP ATAP 2024'!E30</f>
        <v>-</v>
      </c>
      <c r="D30" s="161" t="str">
        <f>'REKAP ATAP 2024'!H30</f>
        <v>-</v>
      </c>
      <c r="E30" s="160" t="str">
        <f>'LA Perbulan'!C30</f>
        <v>-</v>
      </c>
      <c r="F30" s="161" t="str">
        <f>'LA Perbulan'!D30</f>
        <v>-</v>
      </c>
      <c r="G30" s="162">
        <f>'LA Perbulan'!Q30</f>
        <v>0</v>
      </c>
      <c r="H30" s="163">
        <f>'LA Perbulan'!P30</f>
        <v>0</v>
      </c>
      <c r="I30" s="168">
        <f t="shared" si="0"/>
        <v>0</v>
      </c>
      <c r="J30" s="163">
        <f t="shared" si="1"/>
        <v>0</v>
      </c>
    </row>
    <row r="32" spans="1:10" ht="12.75" customHeight="1">
      <c r="H32" s="694" t="s">
        <v>204</v>
      </c>
      <c r="I32" s="694"/>
      <c r="J32" s="694"/>
    </row>
    <row r="33" spans="8:14" ht="12" customHeight="1">
      <c r="I33" s="695"/>
      <c r="J33" s="695"/>
      <c r="K33" s="169"/>
      <c r="L33" s="169"/>
      <c r="M33" s="169"/>
      <c r="N33" s="170"/>
    </row>
    <row r="34" spans="8:14" ht="12" customHeight="1">
      <c r="H34" s="693" t="s">
        <v>165</v>
      </c>
      <c r="I34" s="693"/>
      <c r="J34" s="693"/>
      <c r="K34" s="169"/>
      <c r="L34" s="169"/>
      <c r="M34" s="169"/>
      <c r="N34" s="170"/>
    </row>
    <row r="35" spans="8:14" ht="12" customHeight="1">
      <c r="H35" s="693" t="s">
        <v>166</v>
      </c>
      <c r="I35" s="693"/>
      <c r="J35" s="693"/>
      <c r="K35" s="169"/>
      <c r="L35" s="169"/>
      <c r="M35" s="169"/>
      <c r="N35" s="170"/>
    </row>
    <row r="36" spans="8:14" ht="12" customHeight="1">
      <c r="I36" s="79"/>
      <c r="J36" s="79"/>
      <c r="K36" s="169"/>
      <c r="L36" s="169"/>
      <c r="M36" s="169"/>
      <c r="N36" s="170"/>
    </row>
    <row r="37" spans="8:14" ht="12" customHeight="1">
      <c r="I37" s="79"/>
      <c r="J37" s="79"/>
      <c r="K37" s="169"/>
      <c r="L37" s="169"/>
      <c r="M37" s="169"/>
      <c r="N37" s="170"/>
    </row>
    <row r="38" spans="8:14" ht="12" customHeight="1">
      <c r="I38" s="79"/>
      <c r="J38" s="79"/>
      <c r="K38" s="169"/>
      <c r="L38" s="169"/>
      <c r="M38" s="169"/>
      <c r="N38" s="170"/>
    </row>
    <row r="39" spans="8:14" ht="12" customHeight="1">
      <c r="H39" s="696" t="s">
        <v>167</v>
      </c>
      <c r="I39" s="696"/>
      <c r="J39" s="696"/>
      <c r="K39" s="171"/>
      <c r="L39" s="171"/>
      <c r="M39" s="169"/>
      <c r="N39" s="170"/>
    </row>
    <row r="40" spans="8:14" ht="12" customHeight="1">
      <c r="H40" s="693" t="s">
        <v>168</v>
      </c>
      <c r="I40" s="693"/>
      <c r="J40" s="693"/>
      <c r="K40" s="172"/>
      <c r="L40" s="172"/>
      <c r="M40" s="170"/>
      <c r="N40" s="170"/>
    </row>
    <row r="41" spans="8:14" ht="12" customHeight="1">
      <c r="K41" s="172"/>
      <c r="L41" s="172"/>
      <c r="M41" s="170"/>
      <c r="N41" s="170"/>
    </row>
  </sheetData>
  <mergeCells count="14">
    <mergeCell ref="A2:J2"/>
    <mergeCell ref="A3:J3"/>
    <mergeCell ref="A4:J4"/>
    <mergeCell ref="C6:J6"/>
    <mergeCell ref="C7:D7"/>
    <mergeCell ref="E7:F7"/>
    <mergeCell ref="G7:H7"/>
    <mergeCell ref="I7:J7"/>
    <mergeCell ref="H40:J40"/>
    <mergeCell ref="H32:J32"/>
    <mergeCell ref="I33:J33"/>
    <mergeCell ref="H34:J34"/>
    <mergeCell ref="H35:J35"/>
    <mergeCell ref="H39:J39"/>
  </mergeCells>
  <printOptions horizontalCentered="1"/>
  <pageMargins left="2" right="2" top="0.75" bottom="0.75" header="0.3" footer="0.3"/>
  <pageSetup paperSize="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A2" zoomScale="87" zoomScaleNormal="87" workbookViewId="0">
      <selection activeCell="T19" sqref="T19"/>
    </sheetView>
  </sheetViews>
  <sheetFormatPr defaultColWidth="9.140625" defaultRowHeight="15"/>
  <cols>
    <col min="1" max="1" width="3.7109375" style="10" customWidth="1"/>
    <col min="2" max="2" width="25" style="10" customWidth="1"/>
    <col min="3" max="3" width="20.28515625" style="10" customWidth="1"/>
    <col min="4" max="4" width="14.85546875" style="10" customWidth="1"/>
    <col min="5" max="5" width="21.140625" style="10" customWidth="1"/>
    <col min="6" max="7" width="14.7109375" style="10" customWidth="1"/>
    <col min="8" max="8" width="16.85546875" style="10" customWidth="1"/>
    <col min="9" max="9" width="9.7109375" style="10" customWidth="1"/>
    <col min="10" max="10" width="0.5703125" style="10" hidden="1" customWidth="1"/>
    <col min="11" max="11" width="15.140625" style="10" hidden="1" customWidth="1"/>
    <col min="12" max="12" width="12" style="10" hidden="1" customWidth="1"/>
    <col min="13" max="13" width="12.42578125" style="10" hidden="1" customWidth="1"/>
    <col min="14" max="19" width="9.140625" style="10" hidden="1" customWidth="1"/>
    <col min="20" max="16384" width="9.140625" style="10"/>
  </cols>
  <sheetData>
    <row r="1" spans="1:20" ht="23.25">
      <c r="A1" s="702" t="s">
        <v>205</v>
      </c>
      <c r="B1" s="702"/>
      <c r="C1" s="702"/>
      <c r="D1" s="702"/>
      <c r="E1" s="702"/>
      <c r="F1" s="702"/>
      <c r="G1" s="702"/>
      <c r="H1" s="702"/>
      <c r="I1" s="49"/>
      <c r="J1" s="49"/>
    </row>
    <row r="2" spans="1:20" ht="17.25" customHeight="1">
      <c r="A2" s="702" t="s">
        <v>166</v>
      </c>
      <c r="B2" s="702"/>
      <c r="C2" s="702"/>
      <c r="D2" s="702"/>
      <c r="E2" s="702"/>
      <c r="F2" s="702"/>
      <c r="G2" s="702"/>
      <c r="H2" s="702"/>
      <c r="I2" s="49"/>
      <c r="J2" s="49"/>
    </row>
    <row r="3" spans="1:20" ht="18.75" customHeight="1">
      <c r="A3" s="702" t="s">
        <v>206</v>
      </c>
      <c r="B3" s="702"/>
      <c r="C3" s="702"/>
      <c r="D3" s="702"/>
      <c r="E3" s="702"/>
      <c r="F3" s="702"/>
      <c r="G3" s="702"/>
      <c r="H3" s="702"/>
      <c r="I3" s="49"/>
      <c r="J3" s="49"/>
    </row>
    <row r="5" spans="1:20" ht="24" customHeight="1">
      <c r="A5" s="129" t="s">
        <v>118</v>
      </c>
      <c r="B5" s="12" t="s">
        <v>207</v>
      </c>
      <c r="C5" s="12" t="s">
        <v>208</v>
      </c>
      <c r="D5" s="12" t="s">
        <v>209</v>
      </c>
      <c r="E5" s="12" t="s">
        <v>210</v>
      </c>
      <c r="F5" s="13" t="s">
        <v>211</v>
      </c>
      <c r="G5" s="13" t="s">
        <v>212</v>
      </c>
      <c r="H5" s="130" t="s">
        <v>213</v>
      </c>
      <c r="K5" s="50" t="s">
        <v>214</v>
      </c>
      <c r="L5" s="50"/>
      <c r="M5" s="50" t="s">
        <v>215</v>
      </c>
      <c r="O5" s="12" t="s">
        <v>216</v>
      </c>
      <c r="Q5" s="13" t="s">
        <v>217</v>
      </c>
      <c r="S5" s="13" t="s">
        <v>212</v>
      </c>
    </row>
    <row r="6" spans="1:20" s="128" customFormat="1" ht="15.75" customHeight="1">
      <c r="A6" s="131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  <c r="G6" s="132">
        <v>7</v>
      </c>
      <c r="H6" s="133">
        <v>8</v>
      </c>
      <c r="O6" s="132">
        <v>5</v>
      </c>
      <c r="Q6" s="132">
        <v>6</v>
      </c>
      <c r="S6" s="132">
        <v>7</v>
      </c>
    </row>
    <row r="7" spans="1:20" ht="18.75" customHeight="1">
      <c r="A7" s="134">
        <v>1</v>
      </c>
      <c r="B7" s="135" t="s">
        <v>82</v>
      </c>
      <c r="C7" s="136">
        <f>'PERKOMODITI 2024'!E57</f>
        <v>1111</v>
      </c>
      <c r="D7" s="137">
        <f>'PERKOMODITI 2024'!E10</f>
        <v>280</v>
      </c>
      <c r="E7" s="138">
        <f>'PERKOMODITI 2024'!E187</f>
        <v>76</v>
      </c>
      <c r="F7" s="551">
        <f>'PERKOMODITI 2024'!E488</f>
        <v>0</v>
      </c>
      <c r="G7" s="138">
        <f>'PERKOMODITI 2024'!E140</f>
        <v>50</v>
      </c>
      <c r="H7" s="139">
        <f>SUM(C7:G7)</f>
        <v>1517</v>
      </c>
      <c r="K7" s="10">
        <v>90</v>
      </c>
      <c r="L7" s="10">
        <v>5</v>
      </c>
      <c r="M7" s="10">
        <v>90</v>
      </c>
      <c r="N7" s="10">
        <v>1</v>
      </c>
      <c r="O7" s="51">
        <v>29</v>
      </c>
      <c r="P7" s="10">
        <v>1</v>
      </c>
      <c r="Q7" s="21">
        <v>10</v>
      </c>
      <c r="S7" s="21">
        <v>0</v>
      </c>
    </row>
    <row r="8" spans="1:20" ht="18.75" customHeight="1">
      <c r="A8" s="26">
        <v>2</v>
      </c>
      <c r="B8" s="27" t="s">
        <v>67</v>
      </c>
      <c r="C8" s="136">
        <f>'PERKOMODITI 2024'!E58</f>
        <v>447</v>
      </c>
      <c r="D8" s="140">
        <f>'PERKOMODITI 2024'!E11</f>
        <v>40</v>
      </c>
      <c r="E8" s="138">
        <f>'PERKOMODITI 2024'!E188</f>
        <v>1.6</v>
      </c>
      <c r="F8" s="551">
        <f>'PERKOMODITI 2024'!E489</f>
        <v>0</v>
      </c>
      <c r="G8" s="138">
        <f>'PERKOMODITI 2024'!E141</f>
        <v>12</v>
      </c>
      <c r="H8" s="141">
        <f t="shared" ref="H8:H17" si="0">SUM(C8:G8)</f>
        <v>500.6</v>
      </c>
      <c r="I8" s="52"/>
      <c r="J8" s="53">
        <v>32</v>
      </c>
      <c r="K8" s="54">
        <v>259</v>
      </c>
      <c r="L8" s="10">
        <f>10/100*100</f>
        <v>10</v>
      </c>
      <c r="M8" s="25">
        <v>46</v>
      </c>
      <c r="N8" s="10">
        <v>1</v>
      </c>
      <c r="O8" s="55">
        <v>4</v>
      </c>
      <c r="P8" s="10">
        <v>2</v>
      </c>
      <c r="Q8" s="25">
        <v>15</v>
      </c>
      <c r="S8" s="25">
        <v>5</v>
      </c>
    </row>
    <row r="9" spans="1:20" ht="18.75" customHeight="1">
      <c r="A9" s="26">
        <v>3</v>
      </c>
      <c r="B9" s="27" t="s">
        <v>68</v>
      </c>
      <c r="C9" s="136">
        <f>'PERKOMODITI 2024'!E59</f>
        <v>262</v>
      </c>
      <c r="D9" s="140">
        <f>'PERKOMODITI 2024'!E12</f>
        <v>100</v>
      </c>
      <c r="E9" s="138">
        <f>'PERKOMODITI 2024'!E189</f>
        <v>2.1</v>
      </c>
      <c r="F9" s="551">
        <f>'PERKOMODITI 2024'!E490</f>
        <v>0</v>
      </c>
      <c r="G9" s="138">
        <f>'PERKOMODITI 2024'!E142</f>
        <v>10</v>
      </c>
      <c r="H9" s="141">
        <f t="shared" si="0"/>
        <v>374.1</v>
      </c>
      <c r="J9" s="41">
        <f>K9*10/100</f>
        <v>21.9</v>
      </c>
      <c r="K9" s="25">
        <v>219</v>
      </c>
      <c r="L9" s="10">
        <f>10/100*100</f>
        <v>10</v>
      </c>
      <c r="M9" s="25">
        <v>295</v>
      </c>
      <c r="N9" s="10">
        <v>1</v>
      </c>
      <c r="O9" s="55">
        <v>34</v>
      </c>
      <c r="P9" s="10">
        <v>1</v>
      </c>
      <c r="Q9" s="25">
        <v>14</v>
      </c>
      <c r="S9" s="25">
        <v>5</v>
      </c>
      <c r="T9" s="149"/>
    </row>
    <row r="10" spans="1:20" ht="18.75" customHeight="1">
      <c r="A10" s="26">
        <v>4</v>
      </c>
      <c r="B10" s="27" t="s">
        <v>69</v>
      </c>
      <c r="C10" s="136">
        <f>'PERKOMODITI 2024'!E60</f>
        <v>172.5</v>
      </c>
      <c r="D10" s="140">
        <f>'PERKOMODITI 2024'!E13</f>
        <v>18</v>
      </c>
      <c r="E10" s="138">
        <f>'PERKOMODITI 2024'!E190</f>
        <v>4</v>
      </c>
      <c r="F10" s="551">
        <f>'PERKOMODITI 2024'!E491</f>
        <v>0</v>
      </c>
      <c r="G10" s="138">
        <f>'PERKOMODITI 2024'!E143</f>
        <v>6</v>
      </c>
      <c r="H10" s="141">
        <f t="shared" si="0"/>
        <v>200.5</v>
      </c>
      <c r="J10" s="41">
        <f>K10*15/100</f>
        <v>40.200000000000003</v>
      </c>
      <c r="K10" s="25">
        <v>268</v>
      </c>
      <c r="L10" s="10">
        <f>5/100*100</f>
        <v>5</v>
      </c>
      <c r="M10" s="25">
        <v>70</v>
      </c>
      <c r="N10" s="10">
        <v>1</v>
      </c>
      <c r="O10" s="55">
        <v>19</v>
      </c>
      <c r="P10" s="10">
        <v>2</v>
      </c>
      <c r="Q10" s="25">
        <v>17</v>
      </c>
      <c r="S10" s="25">
        <v>2</v>
      </c>
    </row>
    <row r="11" spans="1:20" ht="18.75" customHeight="1">
      <c r="A11" s="26">
        <v>5</v>
      </c>
      <c r="B11" s="32" t="s">
        <v>70</v>
      </c>
      <c r="C11" s="136">
        <f>'PERKOMODITI 2024'!E61</f>
        <v>784</v>
      </c>
      <c r="D11" s="140">
        <f>'PERKOMODITI 2024'!E14</f>
        <v>93</v>
      </c>
      <c r="E11" s="138">
        <f>'PERKOMODITI 2024'!E191</f>
        <v>420</v>
      </c>
      <c r="F11" s="551">
        <f>'PERKOMODITI 2024'!E492</f>
        <v>0</v>
      </c>
      <c r="G11" s="138">
        <f>'PERKOMODITI 2024'!E144</f>
        <v>42</v>
      </c>
      <c r="H11" s="141">
        <f t="shared" si="0"/>
        <v>1339</v>
      </c>
      <c r="K11" s="25">
        <v>0</v>
      </c>
      <c r="M11" s="25">
        <v>0</v>
      </c>
      <c r="O11" s="56">
        <f>-Q11</f>
        <v>0</v>
      </c>
      <c r="Q11" s="25">
        <v>0</v>
      </c>
      <c r="S11" s="25">
        <v>0</v>
      </c>
    </row>
    <row r="12" spans="1:20" ht="18.75" customHeight="1">
      <c r="A12" s="26">
        <v>6</v>
      </c>
      <c r="B12" s="27" t="s">
        <v>71</v>
      </c>
      <c r="C12" s="136">
        <f>'PERKOMODITI 2024'!E62</f>
        <v>9</v>
      </c>
      <c r="D12" s="140">
        <f>'PERKOMODITI 2024'!E15</f>
        <v>147</v>
      </c>
      <c r="E12" s="138">
        <f>'PERKOMODITI 2024'!E192</f>
        <v>54</v>
      </c>
      <c r="F12" s="551">
        <f>'PERKOMODITI 2024'!E493</f>
        <v>0</v>
      </c>
      <c r="G12" s="138">
        <f>'PERKOMODITI 2024'!E145</f>
        <v>93</v>
      </c>
      <c r="H12" s="141">
        <f t="shared" si="0"/>
        <v>303</v>
      </c>
      <c r="J12" s="41">
        <f>K12*10/100</f>
        <v>12.5</v>
      </c>
      <c r="K12" s="25">
        <v>125</v>
      </c>
      <c r="L12" s="10">
        <f>6/100*100</f>
        <v>6</v>
      </c>
      <c r="M12" s="25">
        <v>470</v>
      </c>
      <c r="N12" s="10">
        <v>1</v>
      </c>
      <c r="O12" s="55">
        <v>1</v>
      </c>
      <c r="P12" s="10">
        <v>1</v>
      </c>
      <c r="Q12" s="25">
        <v>5</v>
      </c>
      <c r="S12" s="25">
        <v>3</v>
      </c>
    </row>
    <row r="13" spans="1:20" ht="18.75" customHeight="1">
      <c r="A13" s="26">
        <v>7</v>
      </c>
      <c r="B13" s="27" t="s">
        <v>72</v>
      </c>
      <c r="C13" s="136">
        <f>'PERKOMODITI 2024'!E63</f>
        <v>8.5</v>
      </c>
      <c r="D13" s="552" t="str">
        <f>'PERKOMODITI 2024'!E16</f>
        <v>-</v>
      </c>
      <c r="E13" s="138">
        <f>'PERKOMODITI 2024'!E193</f>
        <v>4</v>
      </c>
      <c r="F13" s="551">
        <f>'PERKOMODITI 2024'!E494</f>
        <v>0</v>
      </c>
      <c r="G13" s="138">
        <f>'PERKOMODITI 2024'!E146</f>
        <v>1</v>
      </c>
      <c r="H13" s="141">
        <f t="shared" si="0"/>
        <v>13.5</v>
      </c>
      <c r="J13" s="41">
        <f>K13*10/100</f>
        <v>25.1</v>
      </c>
      <c r="K13" s="25">
        <v>251</v>
      </c>
      <c r="L13" s="10">
        <f>10/100*100</f>
        <v>10</v>
      </c>
      <c r="M13" s="25">
        <v>520</v>
      </c>
      <c r="N13" s="10">
        <v>1</v>
      </c>
      <c r="O13" s="55">
        <v>2</v>
      </c>
      <c r="Q13" s="25">
        <v>13</v>
      </c>
      <c r="S13" s="25">
        <v>3</v>
      </c>
    </row>
    <row r="14" spans="1:20" ht="18.75" customHeight="1">
      <c r="A14" s="26">
        <v>8</v>
      </c>
      <c r="B14" s="27" t="s">
        <v>73</v>
      </c>
      <c r="C14" s="136">
        <f>'PERKOMODITI 2024'!E64</f>
        <v>239</v>
      </c>
      <c r="D14" s="552" t="str">
        <f>'PERKOMODITI 2024'!E17</f>
        <v>-</v>
      </c>
      <c r="E14" s="138">
        <f>'PERKOMODITI 2024'!E194</f>
        <v>45</v>
      </c>
      <c r="F14" s="551">
        <f>'PERKOMODITI 2024'!E495</f>
        <v>0</v>
      </c>
      <c r="G14" s="551">
        <f>'PERKOMODITI 2024'!E147</f>
        <v>0</v>
      </c>
      <c r="H14" s="141">
        <f t="shared" si="0"/>
        <v>284</v>
      </c>
      <c r="J14" s="41">
        <f>K14*10/100</f>
        <v>4.5</v>
      </c>
      <c r="K14" s="25">
        <v>45</v>
      </c>
      <c r="L14" s="10">
        <f>6/100*100</f>
        <v>6</v>
      </c>
      <c r="M14" s="25">
        <v>209</v>
      </c>
      <c r="N14" s="10">
        <v>0</v>
      </c>
      <c r="O14" s="55">
        <v>0</v>
      </c>
      <c r="Q14" s="25">
        <v>0</v>
      </c>
      <c r="S14" s="25">
        <v>0</v>
      </c>
    </row>
    <row r="15" spans="1:20" ht="18.75" customHeight="1">
      <c r="A15" s="26">
        <v>9</v>
      </c>
      <c r="B15" s="27" t="s">
        <v>74</v>
      </c>
      <c r="C15" s="136">
        <f>'PERKOMODITI 2024'!E65</f>
        <v>50</v>
      </c>
      <c r="D15" s="552" t="str">
        <f>'PERKOMODITI 2024'!E18</f>
        <v>-</v>
      </c>
      <c r="E15" s="138">
        <f>'PERKOMODITI 2024'!E195</f>
        <v>106</v>
      </c>
      <c r="F15" s="551">
        <f>'PERKOMODITI 2024'!E496</f>
        <v>0</v>
      </c>
      <c r="G15" s="138">
        <f>'PERKOMODITI 2024'!E148</f>
        <v>9</v>
      </c>
      <c r="H15" s="141">
        <f t="shared" si="0"/>
        <v>165</v>
      </c>
      <c r="J15" s="41">
        <v>20</v>
      </c>
      <c r="K15" s="25">
        <v>275</v>
      </c>
      <c r="L15" s="10">
        <v>15</v>
      </c>
      <c r="M15" s="25">
        <v>350</v>
      </c>
      <c r="N15" s="10">
        <v>0</v>
      </c>
      <c r="O15" s="55">
        <v>0</v>
      </c>
      <c r="P15" s="10">
        <v>2</v>
      </c>
      <c r="Q15" s="25">
        <v>28</v>
      </c>
      <c r="S15" s="25">
        <v>3</v>
      </c>
    </row>
    <row r="16" spans="1:20" ht="18.75" customHeight="1">
      <c r="A16" s="26">
        <v>10</v>
      </c>
      <c r="B16" s="27" t="s">
        <v>75</v>
      </c>
      <c r="C16" s="553" t="str">
        <f>'PERKOMODITI 2024'!E66</f>
        <v>-</v>
      </c>
      <c r="D16" s="140">
        <f>'PERKOMODITI 2024'!E19</f>
        <v>38</v>
      </c>
      <c r="E16" s="138">
        <f>'PERKOMODITI 2024'!E196</f>
        <v>1042</v>
      </c>
      <c r="F16" s="138">
        <f>'PERKOMODITI 2024'!E497</f>
        <v>146</v>
      </c>
      <c r="G16" s="138">
        <f>'PERKOMODITI 2024'!E149</f>
        <v>1.4</v>
      </c>
      <c r="H16" s="141">
        <f t="shared" si="0"/>
        <v>1227.4000000000001</v>
      </c>
      <c r="J16" s="41">
        <v>10</v>
      </c>
      <c r="K16" s="25">
        <v>60</v>
      </c>
      <c r="L16" s="10">
        <v>1</v>
      </c>
      <c r="M16" s="25">
        <v>15</v>
      </c>
      <c r="N16" s="10">
        <v>1</v>
      </c>
      <c r="O16" s="55">
        <v>3</v>
      </c>
      <c r="Q16" s="25">
        <v>0</v>
      </c>
      <c r="S16" s="25">
        <v>0</v>
      </c>
    </row>
    <row r="17" spans="1:20" ht="18.75" customHeight="1">
      <c r="A17" s="22">
        <v>11</v>
      </c>
      <c r="B17" s="142" t="s">
        <v>76</v>
      </c>
      <c r="C17" s="553" t="str">
        <f>'PERKOMODITI 2024'!E67</f>
        <v>-</v>
      </c>
      <c r="D17" s="143">
        <f>'PERKOMODITI 2024'!E20</f>
        <v>15</v>
      </c>
      <c r="E17" s="138">
        <f>'PERKOMODITI 2024'!E197</f>
        <v>380</v>
      </c>
      <c r="F17" s="138">
        <f>'PERKOMODITI 2024'!E498</f>
        <v>16</v>
      </c>
      <c r="G17" s="551">
        <f>'PERKOMODITI 2024'!E150</f>
        <v>0</v>
      </c>
      <c r="H17" s="144">
        <f t="shared" si="0"/>
        <v>411</v>
      </c>
      <c r="J17" s="41">
        <f>K17*15/100</f>
        <v>34.5</v>
      </c>
      <c r="K17" s="25">
        <v>230</v>
      </c>
      <c r="L17" s="10">
        <v>15</v>
      </c>
      <c r="M17" s="25">
        <v>460</v>
      </c>
      <c r="N17" s="10">
        <v>1</v>
      </c>
      <c r="O17" s="55">
        <v>3</v>
      </c>
      <c r="P17" s="10">
        <v>1</v>
      </c>
      <c r="Q17" s="25">
        <v>12</v>
      </c>
      <c r="S17" s="25">
        <v>2</v>
      </c>
    </row>
    <row r="18" spans="1:20" ht="18.75" customHeight="1">
      <c r="A18" s="703" t="s">
        <v>77</v>
      </c>
      <c r="B18" s="704"/>
      <c r="C18" s="145">
        <f t="shared" ref="C18:H18" si="1">SUM(C7:C17)</f>
        <v>3083</v>
      </c>
      <c r="D18" s="146">
        <f t="shared" si="1"/>
        <v>731</v>
      </c>
      <c r="E18" s="147">
        <f t="shared" si="1"/>
        <v>2134.6999999999998</v>
      </c>
      <c r="F18" s="147">
        <f t="shared" si="1"/>
        <v>162</v>
      </c>
      <c r="G18" s="147">
        <f t="shared" si="1"/>
        <v>224.4</v>
      </c>
      <c r="H18" s="148">
        <f t="shared" si="1"/>
        <v>6335.1</v>
      </c>
      <c r="T18" s="149"/>
    </row>
    <row r="19" spans="1:20" ht="17.25" customHeight="1">
      <c r="C19" s="41"/>
    </row>
    <row r="20" spans="1:20">
      <c r="A20" s="10" t="s">
        <v>218</v>
      </c>
      <c r="B20" s="42" t="s">
        <v>219</v>
      </c>
      <c r="E20" s="705" t="s">
        <v>220</v>
      </c>
      <c r="F20" s="706"/>
      <c r="G20" s="706"/>
      <c r="H20" s="706"/>
    </row>
    <row r="21" spans="1:20">
      <c r="B21" s="42" t="s">
        <v>221</v>
      </c>
      <c r="E21" s="43"/>
      <c r="F21" s="43"/>
      <c r="G21" s="43"/>
      <c r="H21" s="43"/>
    </row>
    <row r="22" spans="1:20">
      <c r="B22" s="42" t="s">
        <v>222</v>
      </c>
      <c r="E22" s="638" t="s">
        <v>165</v>
      </c>
      <c r="F22" s="638"/>
      <c r="G22" s="638"/>
      <c r="H22" s="638"/>
    </row>
    <row r="23" spans="1:20">
      <c r="E23" s="638" t="s">
        <v>166</v>
      </c>
      <c r="F23" s="638"/>
      <c r="G23" s="638"/>
      <c r="H23" s="638"/>
    </row>
    <row r="24" spans="1:20">
      <c r="E24" s="638"/>
      <c r="F24" s="638"/>
      <c r="G24" s="638"/>
      <c r="H24" s="638"/>
      <c r="I24" s="43"/>
      <c r="J24" s="43"/>
    </row>
    <row r="25" spans="1:20">
      <c r="E25" s="45"/>
      <c r="F25" s="45"/>
      <c r="G25" s="45"/>
      <c r="H25" s="45"/>
      <c r="I25" s="43"/>
      <c r="J25" s="43"/>
    </row>
    <row r="26" spans="1:20">
      <c r="C26" s="43"/>
      <c r="E26" s="45"/>
      <c r="F26" s="45"/>
      <c r="G26" s="45"/>
      <c r="H26" s="45"/>
      <c r="I26" s="43"/>
      <c r="J26" s="43"/>
    </row>
    <row r="27" spans="1:20">
      <c r="E27" s="701" t="s">
        <v>167</v>
      </c>
      <c r="F27" s="701"/>
      <c r="G27" s="701"/>
      <c r="H27" s="701"/>
      <c r="I27" s="43"/>
      <c r="J27" s="43"/>
    </row>
    <row r="28" spans="1:20">
      <c r="E28" s="650" t="s">
        <v>223</v>
      </c>
      <c r="F28" s="637"/>
      <c r="G28" s="637"/>
      <c r="H28" s="637"/>
    </row>
    <row r="29" spans="1:20">
      <c r="G29" s="43"/>
      <c r="H29" s="43"/>
      <c r="I29" s="57"/>
      <c r="J29" s="57"/>
    </row>
    <row r="30" spans="1:20">
      <c r="G30" s="43"/>
      <c r="H30" s="43"/>
      <c r="I30" s="43"/>
      <c r="J30" s="43"/>
    </row>
    <row r="31" spans="1:20">
      <c r="G31" s="43"/>
      <c r="H31" s="43"/>
      <c r="I31" s="43"/>
      <c r="J31" s="43"/>
    </row>
    <row r="32" spans="1:20">
      <c r="G32" s="43"/>
      <c r="H32" s="43"/>
      <c r="I32" s="43"/>
      <c r="J32" s="43"/>
    </row>
    <row r="33" spans="9:10">
      <c r="I33" s="43"/>
      <c r="J33" s="43"/>
    </row>
    <row r="34" spans="9:10">
      <c r="I34" s="43"/>
      <c r="J34" s="43"/>
    </row>
  </sheetData>
  <mergeCells count="10">
    <mergeCell ref="A1:H1"/>
    <mergeCell ref="A2:H2"/>
    <mergeCell ref="A3:H3"/>
    <mergeCell ref="A18:B18"/>
    <mergeCell ref="E20:H20"/>
    <mergeCell ref="E22:H22"/>
    <mergeCell ref="E23:H23"/>
    <mergeCell ref="E24:H24"/>
    <mergeCell ref="E27:H27"/>
    <mergeCell ref="E28:H28"/>
  </mergeCells>
  <printOptions horizontalCentered="1"/>
  <pageMargins left="0.75" right="1" top="0.31" bottom="0.31" header="0" footer="0"/>
  <pageSetup paperSize="5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23" zoomScale="90" zoomScaleNormal="90" workbookViewId="0">
      <selection activeCell="G31" sqref="G31:J31"/>
    </sheetView>
  </sheetViews>
  <sheetFormatPr defaultColWidth="9" defaultRowHeight="12.75"/>
  <cols>
    <col min="1" max="1" width="6.28515625" customWidth="1"/>
    <col min="2" max="2" width="17.7109375" customWidth="1"/>
    <col min="3" max="6" width="9.28515625" customWidth="1"/>
    <col min="7" max="7" width="9.42578125" customWidth="1"/>
    <col min="8" max="8" width="11.85546875" customWidth="1"/>
    <col min="9" max="9" width="7.85546875" customWidth="1"/>
    <col min="10" max="10" width="7.7109375" customWidth="1"/>
    <col min="14" max="14" width="5" customWidth="1"/>
    <col min="15" max="15" width="17.5703125" customWidth="1"/>
    <col min="16" max="16" width="8.28515625" customWidth="1"/>
    <col min="19" max="19" width="9.140625" customWidth="1"/>
    <col min="20" max="20" width="14" customWidth="1"/>
    <col min="21" max="21" width="12.42578125" customWidth="1"/>
    <col min="22" max="22" width="13.7109375" customWidth="1"/>
    <col min="23" max="23" width="8" customWidth="1"/>
    <col min="24" max="24" width="17.140625" customWidth="1"/>
    <col min="27" max="27" width="6" customWidth="1"/>
    <col min="28" max="28" width="15" customWidth="1"/>
    <col min="34" max="34" width="11.140625" customWidth="1"/>
    <col min="35" max="35" width="12.28515625" customWidth="1"/>
    <col min="36" max="36" width="10.7109375" customWidth="1"/>
  </cols>
  <sheetData>
    <row r="1" spans="1:10" ht="18.75">
      <c r="A1" s="663" t="s">
        <v>224</v>
      </c>
      <c r="B1" s="663"/>
      <c r="C1" s="663"/>
      <c r="D1" s="663"/>
      <c r="E1" s="663"/>
      <c r="F1" s="663"/>
      <c r="G1" s="663"/>
      <c r="H1" s="663"/>
      <c r="I1" s="663"/>
      <c r="J1" s="663"/>
    </row>
    <row r="2" spans="1:10" ht="18.75">
      <c r="A2" s="663" t="s">
        <v>1</v>
      </c>
      <c r="B2" s="663"/>
      <c r="C2" s="663"/>
      <c r="D2" s="663"/>
      <c r="E2" s="663"/>
      <c r="F2" s="663"/>
      <c r="G2" s="663"/>
      <c r="H2" s="663"/>
      <c r="I2" s="663"/>
      <c r="J2" s="663"/>
    </row>
    <row r="3" spans="1:10" ht="18.75">
      <c r="A3" s="663" t="s">
        <v>206</v>
      </c>
      <c r="B3" s="663"/>
      <c r="C3" s="663"/>
      <c r="D3" s="663"/>
      <c r="E3" s="663"/>
      <c r="F3" s="663"/>
      <c r="G3" s="663"/>
      <c r="H3" s="663"/>
      <c r="I3" s="663"/>
      <c r="J3" s="663"/>
    </row>
    <row r="6" spans="1:10" ht="24.95" customHeight="1">
      <c r="A6" s="657" t="s">
        <v>4</v>
      </c>
      <c r="B6" s="654" t="s">
        <v>5</v>
      </c>
      <c r="C6" s="712" t="s">
        <v>6</v>
      </c>
      <c r="D6" s="713"/>
      <c r="E6" s="714"/>
      <c r="F6" s="642" t="s">
        <v>7</v>
      </c>
      <c r="G6" s="642" t="s">
        <v>8</v>
      </c>
      <c r="H6" s="642" t="s">
        <v>9</v>
      </c>
      <c r="I6" s="642" t="s">
        <v>10</v>
      </c>
      <c r="J6" s="645" t="s">
        <v>11</v>
      </c>
    </row>
    <row r="7" spans="1:10" ht="24.95" customHeight="1">
      <c r="A7" s="658"/>
      <c r="B7" s="655"/>
      <c r="C7" s="707" t="s">
        <v>12</v>
      </c>
      <c r="D7" s="709" t="s">
        <v>13</v>
      </c>
      <c r="E7" s="710" t="s">
        <v>14</v>
      </c>
      <c r="F7" s="643"/>
      <c r="G7" s="643"/>
      <c r="H7" s="643"/>
      <c r="I7" s="643"/>
      <c r="J7" s="646"/>
    </row>
    <row r="8" spans="1:10" ht="7.5" customHeight="1">
      <c r="A8" s="659"/>
      <c r="B8" s="656"/>
      <c r="C8" s="708"/>
      <c r="D8" s="656"/>
      <c r="E8" s="668"/>
      <c r="F8" s="644"/>
      <c r="G8" s="644"/>
      <c r="H8" s="644"/>
      <c r="I8" s="644"/>
      <c r="J8" s="647"/>
    </row>
    <row r="9" spans="1:10" ht="18" customHeight="1">
      <c r="A9" s="83">
        <v>1</v>
      </c>
      <c r="B9" s="84">
        <v>2</v>
      </c>
      <c r="C9" s="84">
        <v>3</v>
      </c>
      <c r="D9" s="84">
        <v>4</v>
      </c>
      <c r="E9" s="84">
        <v>5</v>
      </c>
      <c r="F9" s="84">
        <v>6</v>
      </c>
      <c r="G9" s="84">
        <v>7</v>
      </c>
      <c r="H9" s="84">
        <v>8</v>
      </c>
      <c r="I9" s="84">
        <v>9</v>
      </c>
      <c r="J9" s="119">
        <v>10</v>
      </c>
    </row>
    <row r="10" spans="1:10" ht="34.5" customHeight="1">
      <c r="A10" s="16">
        <v>1</v>
      </c>
      <c r="B10" s="85" t="s">
        <v>15</v>
      </c>
      <c r="C10" s="86" t="e">
        <f>#REF!</f>
        <v>#REF!</v>
      </c>
      <c r="D10" s="86" t="e">
        <f>#REF!</f>
        <v>#REF!</v>
      </c>
      <c r="E10" s="86" t="e">
        <f>#REF!</f>
        <v>#REF!</v>
      </c>
      <c r="F10" s="87" t="e">
        <f>C10+D10+E10</f>
        <v>#REF!</v>
      </c>
      <c r="G10" s="88" t="e">
        <f>H10/1000*D10</f>
        <v>#REF!</v>
      </c>
      <c r="H10" s="89" t="e">
        <f>#REF!</f>
        <v>#REF!</v>
      </c>
      <c r="I10" s="120" t="e">
        <f>#REF!</f>
        <v>#REF!</v>
      </c>
      <c r="J10" s="121"/>
    </row>
    <row r="11" spans="1:10" ht="34.5" customHeight="1">
      <c r="A11" s="26">
        <v>2</v>
      </c>
      <c r="B11" s="90" t="s">
        <v>16</v>
      </c>
      <c r="C11" s="91" t="e">
        <f>#REF!</f>
        <v>#REF!</v>
      </c>
      <c r="D11" s="91" t="e">
        <f>#REF!</f>
        <v>#REF!</v>
      </c>
      <c r="E11" s="91" t="e">
        <f>#REF!</f>
        <v>#REF!</v>
      </c>
      <c r="F11" s="92" t="e">
        <f t="shared" ref="F11:F24" si="0">C11+D11+E11</f>
        <v>#REF!</v>
      </c>
      <c r="G11" s="93" t="e">
        <f t="shared" ref="G11:G16" si="1">H11/1000*D11</f>
        <v>#REF!</v>
      </c>
      <c r="H11" s="94" t="e">
        <f>#REF!</f>
        <v>#REF!</v>
      </c>
      <c r="I11" s="95" t="e">
        <f>#REF!</f>
        <v>#REF!</v>
      </c>
      <c r="J11" s="122"/>
    </row>
    <row r="12" spans="1:10" ht="34.5" customHeight="1">
      <c r="A12" s="26">
        <v>3</v>
      </c>
      <c r="B12" s="90" t="s">
        <v>17</v>
      </c>
      <c r="C12" s="95" t="e">
        <f>#REF!</f>
        <v>#REF!</v>
      </c>
      <c r="D12" s="95" t="e">
        <f>#REF!</f>
        <v>#REF!</v>
      </c>
      <c r="E12" s="95" t="e">
        <f>#REF!</f>
        <v>#REF!</v>
      </c>
      <c r="F12" s="92" t="e">
        <f t="shared" si="0"/>
        <v>#REF!</v>
      </c>
      <c r="G12" s="93" t="e">
        <f t="shared" si="1"/>
        <v>#REF!</v>
      </c>
      <c r="H12" s="95" t="e">
        <f>#REF!</f>
        <v>#REF!</v>
      </c>
      <c r="I12" s="95" t="e">
        <f>#REF!</f>
        <v>#REF!</v>
      </c>
      <c r="J12" s="122"/>
    </row>
    <row r="13" spans="1:10" ht="34.5" customHeight="1">
      <c r="A13" s="26">
        <v>4</v>
      </c>
      <c r="B13" s="90" t="s">
        <v>19</v>
      </c>
      <c r="C13" s="96" t="e">
        <f>#REF!</f>
        <v>#REF!</v>
      </c>
      <c r="D13" s="97" t="e">
        <f>#REF!</f>
        <v>#REF!</v>
      </c>
      <c r="E13" s="98">
        <f>'PERKOMODITI 2024'!S291</f>
        <v>0</v>
      </c>
      <c r="F13" s="92" t="e">
        <f>C13</f>
        <v>#REF!</v>
      </c>
      <c r="G13" s="93" t="e">
        <f>#REF!</f>
        <v>#REF!</v>
      </c>
      <c r="H13" s="98" t="e">
        <f>#REF!</f>
        <v>#REF!</v>
      </c>
      <c r="I13" s="123" t="e">
        <f>#REF!</f>
        <v>#REF!</v>
      </c>
      <c r="J13" s="124"/>
    </row>
    <row r="14" spans="1:10" ht="34.5" customHeight="1">
      <c r="A14" s="26">
        <v>5</v>
      </c>
      <c r="B14" s="90" t="s">
        <v>21</v>
      </c>
      <c r="C14" s="95" t="e">
        <f>#REF!</f>
        <v>#REF!</v>
      </c>
      <c r="D14" s="95" t="e">
        <f>#REF!</f>
        <v>#REF!</v>
      </c>
      <c r="E14" s="95" t="e">
        <f>#REF!</f>
        <v>#REF!</v>
      </c>
      <c r="F14" s="92" t="e">
        <f t="shared" si="0"/>
        <v>#REF!</v>
      </c>
      <c r="G14" s="93" t="e">
        <f t="shared" si="1"/>
        <v>#REF!</v>
      </c>
      <c r="H14" s="95" t="e">
        <f>#REF!</f>
        <v>#REF!</v>
      </c>
      <c r="I14" s="95" t="e">
        <f>#REF!</f>
        <v>#REF!</v>
      </c>
      <c r="J14" s="122"/>
    </row>
    <row r="15" spans="1:10" ht="34.5" customHeight="1">
      <c r="A15" s="26">
        <v>6</v>
      </c>
      <c r="B15" s="90" t="s">
        <v>22</v>
      </c>
      <c r="C15" s="95" t="e">
        <f>#REF!</f>
        <v>#REF!</v>
      </c>
      <c r="D15" s="95" t="e">
        <f>#REF!</f>
        <v>#REF!</v>
      </c>
      <c r="E15" s="95" t="e">
        <f>#REF!</f>
        <v>#REF!</v>
      </c>
      <c r="F15" s="99" t="e">
        <f t="shared" si="0"/>
        <v>#REF!</v>
      </c>
      <c r="G15" s="93" t="e">
        <f t="shared" si="1"/>
        <v>#REF!</v>
      </c>
      <c r="H15" s="94" t="e">
        <f>#REF!</f>
        <v>#REF!</v>
      </c>
      <c r="I15" s="94" t="e">
        <f>#REF!</f>
        <v>#REF!</v>
      </c>
      <c r="J15" s="122"/>
    </row>
    <row r="16" spans="1:10" ht="34.5" customHeight="1">
      <c r="A16" s="26">
        <v>7</v>
      </c>
      <c r="B16" s="90" t="s">
        <v>23</v>
      </c>
      <c r="C16" s="95" t="e">
        <f>#REF!</f>
        <v>#REF!</v>
      </c>
      <c r="D16" s="95" t="e">
        <f>#REF!</f>
        <v>#REF!</v>
      </c>
      <c r="E16" s="95" t="e">
        <f>#REF!</f>
        <v>#REF!</v>
      </c>
      <c r="F16" s="92" t="e">
        <f t="shared" si="0"/>
        <v>#REF!</v>
      </c>
      <c r="G16" s="93" t="e">
        <f t="shared" si="1"/>
        <v>#REF!</v>
      </c>
      <c r="H16" s="94" t="e">
        <f>#REF!</f>
        <v>#REF!</v>
      </c>
      <c r="I16" s="94" t="e">
        <f>#REF!</f>
        <v>#REF!</v>
      </c>
      <c r="J16" s="122"/>
    </row>
    <row r="17" spans="1:10" ht="34.5" customHeight="1">
      <c r="A17" s="26">
        <v>8</v>
      </c>
      <c r="B17" s="90" t="s">
        <v>24</v>
      </c>
      <c r="C17" s="98" t="e">
        <f>#REF!</f>
        <v>#REF!</v>
      </c>
      <c r="D17" s="98" t="e">
        <f>#REF!</f>
        <v>#REF!</v>
      </c>
      <c r="E17" s="98" t="e">
        <f>#REF!</f>
        <v>#REF!</v>
      </c>
      <c r="F17" s="92" t="e">
        <f t="shared" si="0"/>
        <v>#REF!</v>
      </c>
      <c r="G17" s="93">
        <v>0</v>
      </c>
      <c r="H17" s="98" t="e">
        <f>#REF!</f>
        <v>#REF!</v>
      </c>
      <c r="I17" s="98" t="e">
        <f>#REF!</f>
        <v>#REF!</v>
      </c>
      <c r="J17" s="122"/>
    </row>
    <row r="18" spans="1:10" ht="34.5" customHeight="1">
      <c r="A18" s="26">
        <v>9</v>
      </c>
      <c r="B18" s="90" t="s">
        <v>25</v>
      </c>
      <c r="C18" s="92" t="e">
        <f>#REF!</f>
        <v>#REF!</v>
      </c>
      <c r="D18" s="92" t="e">
        <f>#REF!</f>
        <v>#REF!</v>
      </c>
      <c r="E18" s="92" t="e">
        <f>#REF!</f>
        <v>#REF!</v>
      </c>
      <c r="F18" s="92" t="e">
        <f t="shared" si="0"/>
        <v>#REF!</v>
      </c>
      <c r="G18" s="100" t="e">
        <f t="shared" ref="G18:G25" si="2">H18/1000*D18</f>
        <v>#REF!</v>
      </c>
      <c r="H18" s="92" t="e">
        <f>#REF!</f>
        <v>#REF!</v>
      </c>
      <c r="I18" s="92" t="e">
        <f>#REF!</f>
        <v>#REF!</v>
      </c>
      <c r="J18" s="122"/>
    </row>
    <row r="19" spans="1:10" ht="34.5" customHeight="1">
      <c r="A19" s="26">
        <v>10</v>
      </c>
      <c r="B19" s="90" t="s">
        <v>26</v>
      </c>
      <c r="C19" s="95" t="e">
        <f>#REF!</f>
        <v>#REF!</v>
      </c>
      <c r="D19" s="95" t="e">
        <f>#REF!</f>
        <v>#REF!</v>
      </c>
      <c r="E19" s="95" t="e">
        <f>#REF!</f>
        <v>#REF!</v>
      </c>
      <c r="F19" s="92" t="e">
        <f t="shared" si="0"/>
        <v>#REF!</v>
      </c>
      <c r="G19" s="93" t="e">
        <f t="shared" si="2"/>
        <v>#REF!</v>
      </c>
      <c r="H19" s="95" t="e">
        <f>#REF!</f>
        <v>#REF!</v>
      </c>
      <c r="I19" s="95" t="e">
        <f>#REF!</f>
        <v>#REF!</v>
      </c>
      <c r="J19" s="122"/>
    </row>
    <row r="20" spans="1:10" ht="34.5" customHeight="1">
      <c r="A20" s="26">
        <v>11</v>
      </c>
      <c r="B20" s="90" t="s">
        <v>27</v>
      </c>
      <c r="C20" s="99" t="e">
        <f>#REF!</f>
        <v>#REF!</v>
      </c>
      <c r="D20" s="99" t="e">
        <f>#REF!</f>
        <v>#REF!</v>
      </c>
      <c r="E20" s="99" t="e">
        <f>#REF!</f>
        <v>#REF!</v>
      </c>
      <c r="F20" s="92" t="e">
        <f t="shared" si="0"/>
        <v>#REF!</v>
      </c>
      <c r="G20" s="93" t="e">
        <f t="shared" si="2"/>
        <v>#REF!</v>
      </c>
      <c r="H20" s="92" t="e">
        <f>#REF!</f>
        <v>#REF!</v>
      </c>
      <c r="I20" s="92" t="e">
        <f>#REF!</f>
        <v>#REF!</v>
      </c>
      <c r="J20" s="122"/>
    </row>
    <row r="21" spans="1:10" ht="34.5" customHeight="1">
      <c r="A21" s="22">
        <v>12</v>
      </c>
      <c r="B21" s="101" t="s">
        <v>28</v>
      </c>
      <c r="C21" s="102" t="e">
        <f>#REF!</f>
        <v>#REF!</v>
      </c>
      <c r="D21" s="102" t="e">
        <f>#REF!</f>
        <v>#REF!</v>
      </c>
      <c r="E21" s="102" t="e">
        <f>#REF!</f>
        <v>#REF!</v>
      </c>
      <c r="F21" s="103" t="e">
        <f t="shared" si="0"/>
        <v>#REF!</v>
      </c>
      <c r="G21" s="104" t="e">
        <f t="shared" si="2"/>
        <v>#REF!</v>
      </c>
      <c r="H21" s="102" t="e">
        <f>#REF!</f>
        <v>#REF!</v>
      </c>
      <c r="I21" s="102" t="e">
        <f>#REF!</f>
        <v>#REF!</v>
      </c>
      <c r="J21" s="125"/>
    </row>
    <row r="22" spans="1:10" ht="34.5" customHeight="1">
      <c r="A22" s="26">
        <v>13</v>
      </c>
      <c r="B22" s="105" t="s">
        <v>31</v>
      </c>
      <c r="C22" s="106" t="e">
        <f>#REF!</f>
        <v>#REF!</v>
      </c>
      <c r="D22" s="106" t="e">
        <f>#REF!</f>
        <v>#REF!</v>
      </c>
      <c r="E22" s="106" t="e">
        <f>#REF!</f>
        <v>#REF!</v>
      </c>
      <c r="F22" s="92" t="e">
        <f t="shared" si="0"/>
        <v>#REF!</v>
      </c>
      <c r="G22" s="93" t="e">
        <f t="shared" si="2"/>
        <v>#REF!</v>
      </c>
      <c r="H22" s="95" t="e">
        <f>#REF!</f>
        <v>#REF!</v>
      </c>
      <c r="I22" s="95" t="e">
        <f>#REF!</f>
        <v>#REF!</v>
      </c>
      <c r="J22" s="122"/>
    </row>
    <row r="23" spans="1:10" ht="34.5" customHeight="1">
      <c r="A23" s="26">
        <v>14</v>
      </c>
      <c r="B23" s="105" t="s">
        <v>29</v>
      </c>
      <c r="C23" s="95" t="e">
        <f>#REF!</f>
        <v>#REF!</v>
      </c>
      <c r="D23" s="95" t="e">
        <f>#REF!</f>
        <v>#REF!</v>
      </c>
      <c r="E23" s="95" t="e">
        <f>#REF!</f>
        <v>#REF!</v>
      </c>
      <c r="F23" s="92" t="e">
        <f t="shared" si="0"/>
        <v>#REF!</v>
      </c>
      <c r="G23" s="93" t="e">
        <f t="shared" si="2"/>
        <v>#REF!</v>
      </c>
      <c r="H23" s="95" t="e">
        <f>#REF!</f>
        <v>#REF!</v>
      </c>
      <c r="I23" s="95" t="e">
        <f>#REF!</f>
        <v>#REF!</v>
      </c>
      <c r="J23" s="122"/>
    </row>
    <row r="24" spans="1:10" ht="34.5" customHeight="1">
      <c r="A24" s="107">
        <v>15</v>
      </c>
      <c r="B24" s="105" t="s">
        <v>30</v>
      </c>
      <c r="C24" s="108" t="e">
        <f>#REF!</f>
        <v>#REF!</v>
      </c>
      <c r="D24" s="108" t="e">
        <f>#REF!</f>
        <v>#REF!</v>
      </c>
      <c r="E24" s="108" t="e">
        <f>#REF!</f>
        <v>#REF!</v>
      </c>
      <c r="F24" s="109" t="e">
        <f t="shared" si="0"/>
        <v>#REF!</v>
      </c>
      <c r="G24" s="110" t="e">
        <f t="shared" si="2"/>
        <v>#REF!</v>
      </c>
      <c r="H24" s="108" t="e">
        <f>#REF!</f>
        <v>#REF!</v>
      </c>
      <c r="I24" s="108" t="e">
        <f>#REF!</f>
        <v>#REF!</v>
      </c>
      <c r="J24" s="126"/>
    </row>
    <row r="25" spans="1:10" ht="34.5" customHeight="1">
      <c r="A25" s="111">
        <v>16</v>
      </c>
      <c r="B25" s="112" t="s">
        <v>225</v>
      </c>
      <c r="C25" s="113" t="e">
        <f>#REF!</f>
        <v>#REF!</v>
      </c>
      <c r="D25" s="113" t="e">
        <f>#REF!</f>
        <v>#REF!</v>
      </c>
      <c r="E25" s="113" t="e">
        <f>#REF!</f>
        <v>#REF!</v>
      </c>
      <c r="F25" s="114" t="e">
        <f>C25</f>
        <v>#REF!</v>
      </c>
      <c r="G25" s="115" t="e">
        <f t="shared" si="2"/>
        <v>#REF!</v>
      </c>
      <c r="H25" s="114" t="e">
        <f>#REF!</f>
        <v>#REF!</v>
      </c>
      <c r="I25" s="114" t="e">
        <f>#REF!</f>
        <v>#REF!</v>
      </c>
      <c r="J25" s="127"/>
    </row>
    <row r="26" spans="1:10" ht="13.5" customHeight="1">
      <c r="A26" s="116"/>
      <c r="B26" s="117" t="s">
        <v>226</v>
      </c>
      <c r="C26" s="117"/>
      <c r="D26" s="117"/>
      <c r="E26" s="117"/>
      <c r="F26" s="118"/>
      <c r="G26" s="118"/>
      <c r="H26" s="118"/>
      <c r="I26" s="118"/>
      <c r="J26" s="118"/>
    </row>
    <row r="27" spans="1:10" ht="13.5" customHeight="1">
      <c r="A27" s="116"/>
      <c r="B27" s="715" t="s">
        <v>227</v>
      </c>
      <c r="C27" s="715"/>
      <c r="D27" s="715"/>
      <c r="E27" s="715"/>
      <c r="F27" s="118"/>
      <c r="G27" s="118"/>
      <c r="H27" s="118"/>
      <c r="I27" s="118"/>
      <c r="J27" s="118"/>
    </row>
    <row r="28" spans="1:10" ht="13.5" customHeight="1">
      <c r="A28" s="116"/>
      <c r="B28" s="117" t="s">
        <v>228</v>
      </c>
      <c r="C28" s="117"/>
      <c r="D28" s="117"/>
      <c r="E28" s="117"/>
      <c r="F28" s="118"/>
      <c r="G28" s="118"/>
      <c r="H28" s="118"/>
      <c r="I28" s="118"/>
      <c r="J28" s="118"/>
    </row>
    <row r="29" spans="1:10" ht="19.5" customHeight="1">
      <c r="G29" s="711" t="s">
        <v>229</v>
      </c>
      <c r="H29" s="711"/>
      <c r="I29" s="711"/>
      <c r="J29" s="711"/>
    </row>
    <row r="30" spans="1:10" ht="7.5" customHeight="1">
      <c r="G30" s="44"/>
      <c r="H30" s="44"/>
      <c r="I30" s="44"/>
      <c r="J30" s="44"/>
    </row>
    <row r="31" spans="1:10" ht="17.25" customHeight="1">
      <c r="G31" s="711" t="s">
        <v>165</v>
      </c>
      <c r="H31" s="711"/>
      <c r="I31" s="711"/>
      <c r="J31" s="711"/>
    </row>
    <row r="32" spans="1:10" ht="14.25" customHeight="1">
      <c r="G32" s="711" t="s">
        <v>166</v>
      </c>
      <c r="H32" s="711"/>
      <c r="I32" s="711"/>
      <c r="J32" s="711"/>
    </row>
    <row r="33" spans="7:10" ht="14.25">
      <c r="G33" s="638"/>
      <c r="H33" s="638"/>
      <c r="I33" s="638"/>
      <c r="J33" s="638"/>
    </row>
    <row r="34" spans="7:10" ht="14.25">
      <c r="G34" s="45"/>
      <c r="H34" s="45"/>
      <c r="I34" s="45"/>
      <c r="J34" s="45"/>
    </row>
    <row r="35" spans="7:10" ht="19.5" customHeight="1">
      <c r="G35" s="45"/>
      <c r="H35" s="45"/>
      <c r="I35" s="45"/>
      <c r="J35" s="45"/>
    </row>
    <row r="36" spans="7:10" ht="15">
      <c r="G36" s="653" t="s">
        <v>167</v>
      </c>
      <c r="H36" s="653"/>
      <c r="I36" s="653"/>
      <c r="J36" s="653"/>
    </row>
    <row r="37" spans="7:10" ht="14.25">
      <c r="G37" s="638" t="s">
        <v>168</v>
      </c>
      <c r="H37" s="638"/>
      <c r="I37" s="638"/>
      <c r="J37" s="638"/>
    </row>
    <row r="38" spans="7:10">
      <c r="G38" s="650"/>
      <c r="H38" s="637"/>
      <c r="I38" s="637"/>
      <c r="J38" s="637"/>
    </row>
    <row r="61" ht="24.95" customHeight="1"/>
    <row r="62" ht="24.95" customHeight="1"/>
    <row r="63" ht="24.95" customHeight="1"/>
    <row r="64" ht="24.95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24.95" customHeight="1"/>
  </sheetData>
  <mergeCells count="22">
    <mergeCell ref="G36:J36"/>
    <mergeCell ref="A1:J1"/>
    <mergeCell ref="A2:J2"/>
    <mergeCell ref="A3:J3"/>
    <mergeCell ref="C6:E6"/>
    <mergeCell ref="B27:E27"/>
    <mergeCell ref="G37:J37"/>
    <mergeCell ref="G38:J38"/>
    <mergeCell ref="A6:A8"/>
    <mergeCell ref="B6:B8"/>
    <mergeCell ref="C7:C8"/>
    <mergeCell ref="D7:D8"/>
    <mergeCell ref="E7:E8"/>
    <mergeCell ref="F6:F8"/>
    <mergeCell ref="G6:G8"/>
    <mergeCell ref="H6:H8"/>
    <mergeCell ref="I6:I8"/>
    <mergeCell ref="J6:J8"/>
    <mergeCell ref="G29:J29"/>
    <mergeCell ref="G31:J31"/>
    <mergeCell ref="G32:J32"/>
    <mergeCell ref="G33:J33"/>
  </mergeCells>
  <pageMargins left="1.37795275590551" right="0.27559055118110198" top="0.78740157480314998" bottom="0.78740157480314998" header="0.59055118110236204" footer="0.59055118110236204"/>
  <pageSetup paperSize="14" scale="80" orientation="portrait" horizontalDpi="360" verticalDpi="36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26" workbookViewId="0">
      <pane ySplit="495" activePane="bottomLeft"/>
      <selection pane="bottomLeft" activeCell="K20" sqref="K20"/>
    </sheetView>
  </sheetViews>
  <sheetFormatPr defaultColWidth="9.140625" defaultRowHeight="12"/>
  <cols>
    <col min="1" max="1" width="6.7109375" style="58" customWidth="1"/>
    <col min="2" max="2" width="20.5703125" style="58" customWidth="1"/>
    <col min="3" max="3" width="19.42578125" style="58" customWidth="1"/>
    <col min="4" max="4" width="28.5703125" style="58" customWidth="1"/>
    <col min="5" max="5" width="9.28515625" style="58" customWidth="1"/>
    <col min="6" max="16384" width="9.140625" style="58"/>
  </cols>
  <sheetData>
    <row r="1" spans="1:5" ht="15.75" customHeight="1">
      <c r="B1" s="59" t="s">
        <v>230</v>
      </c>
      <c r="C1" s="60" t="s">
        <v>231</v>
      </c>
      <c r="D1" s="60"/>
      <c r="E1" s="1"/>
    </row>
    <row r="2" spans="1:5" ht="15.75" customHeight="1">
      <c r="B2" s="60"/>
      <c r="C2" s="60" t="s">
        <v>232</v>
      </c>
      <c r="D2" s="60"/>
      <c r="E2" s="1"/>
    </row>
    <row r="3" spans="1:5" ht="15.75" customHeight="1">
      <c r="B3" s="60"/>
      <c r="C3" s="60" t="s">
        <v>233</v>
      </c>
      <c r="D3" s="60"/>
      <c r="E3" s="1"/>
    </row>
    <row r="4" spans="1:5" ht="15.75" customHeight="1">
      <c r="B4" s="60"/>
      <c r="C4" s="60" t="s">
        <v>234</v>
      </c>
      <c r="D4" s="60"/>
      <c r="E4" s="1"/>
    </row>
    <row r="5" spans="1:5" ht="13.5" customHeight="1"/>
    <row r="6" spans="1:5">
      <c r="A6" s="716" t="s">
        <v>118</v>
      </c>
      <c r="B6" s="677" t="s">
        <v>235</v>
      </c>
      <c r="C6" s="677" t="s">
        <v>236</v>
      </c>
      <c r="D6" s="718" t="s">
        <v>237</v>
      </c>
      <c r="E6" s="720" t="s">
        <v>238</v>
      </c>
    </row>
    <row r="7" spans="1:5">
      <c r="A7" s="717"/>
      <c r="B7" s="679"/>
      <c r="C7" s="679"/>
      <c r="D7" s="719"/>
      <c r="E7" s="721"/>
    </row>
    <row r="8" spans="1:5">
      <c r="A8" s="63">
        <v>1</v>
      </c>
      <c r="B8" s="64">
        <v>2</v>
      </c>
      <c r="C8" s="64">
        <v>3</v>
      </c>
      <c r="D8" s="64">
        <v>4</v>
      </c>
      <c r="E8" s="65">
        <v>6</v>
      </c>
    </row>
    <row r="9" spans="1:5">
      <c r="A9" s="66"/>
      <c r="B9" s="67"/>
      <c r="C9" s="67"/>
      <c r="D9" s="67"/>
      <c r="E9" s="68"/>
    </row>
    <row r="10" spans="1:5">
      <c r="A10" s="69">
        <v>1</v>
      </c>
      <c r="B10" s="70" t="s">
        <v>239</v>
      </c>
      <c r="C10" s="71" t="s">
        <v>240</v>
      </c>
      <c r="D10" s="70" t="s">
        <v>37</v>
      </c>
      <c r="E10" s="68"/>
    </row>
    <row r="11" spans="1:5">
      <c r="A11" s="69">
        <v>2</v>
      </c>
      <c r="B11" s="70" t="s">
        <v>241</v>
      </c>
      <c r="C11" s="554" t="s">
        <v>20</v>
      </c>
      <c r="D11" s="70" t="s">
        <v>242</v>
      </c>
      <c r="E11" s="68"/>
    </row>
    <row r="12" spans="1:5">
      <c r="A12" s="69">
        <v>3</v>
      </c>
      <c r="B12" s="70" t="s">
        <v>42</v>
      </c>
      <c r="C12" s="554" t="s">
        <v>20</v>
      </c>
      <c r="D12" s="70" t="s">
        <v>243</v>
      </c>
      <c r="E12" s="68"/>
    </row>
    <row r="13" spans="1:5">
      <c r="A13" s="69">
        <v>4</v>
      </c>
      <c r="B13" s="70" t="s">
        <v>244</v>
      </c>
      <c r="C13" s="554" t="s">
        <v>20</v>
      </c>
      <c r="D13" s="70" t="s">
        <v>245</v>
      </c>
      <c r="E13" s="68"/>
    </row>
    <row r="14" spans="1:5">
      <c r="A14" s="69">
        <v>5</v>
      </c>
      <c r="B14" s="70" t="s">
        <v>246</v>
      </c>
      <c r="C14" s="554" t="s">
        <v>20</v>
      </c>
      <c r="D14" s="70" t="s">
        <v>247</v>
      </c>
      <c r="E14" s="68"/>
    </row>
    <row r="15" spans="1:5">
      <c r="A15" s="69">
        <v>6</v>
      </c>
      <c r="B15" s="70" t="s">
        <v>248</v>
      </c>
      <c r="C15" s="554" t="s">
        <v>20</v>
      </c>
      <c r="D15" s="70" t="s">
        <v>249</v>
      </c>
      <c r="E15" s="68"/>
    </row>
    <row r="16" spans="1:5">
      <c r="A16" s="69">
        <v>7</v>
      </c>
      <c r="B16" s="70" t="s">
        <v>250</v>
      </c>
      <c r="C16" s="554" t="s">
        <v>20</v>
      </c>
      <c r="D16" s="70" t="s">
        <v>251</v>
      </c>
      <c r="E16" s="68"/>
    </row>
    <row r="17" spans="1:6">
      <c r="A17" s="69">
        <v>8</v>
      </c>
      <c r="B17" s="70" t="s">
        <v>252</v>
      </c>
      <c r="C17" s="554" t="s">
        <v>20</v>
      </c>
      <c r="D17" s="70" t="s">
        <v>253</v>
      </c>
      <c r="E17" s="68"/>
    </row>
    <row r="18" spans="1:6">
      <c r="A18" s="69">
        <v>9</v>
      </c>
      <c r="B18" s="70" t="s">
        <v>254</v>
      </c>
      <c r="C18" s="554" t="s">
        <v>20</v>
      </c>
      <c r="D18" s="70" t="s">
        <v>255</v>
      </c>
      <c r="E18" s="68"/>
    </row>
    <row r="19" spans="1:6">
      <c r="A19" s="69">
        <v>10</v>
      </c>
      <c r="B19" s="70" t="s">
        <v>256</v>
      </c>
      <c r="C19" s="554" t="s">
        <v>20</v>
      </c>
      <c r="D19" s="70" t="s">
        <v>257</v>
      </c>
      <c r="E19" s="68"/>
    </row>
    <row r="20" spans="1:6">
      <c r="A20" s="69">
        <v>11</v>
      </c>
      <c r="B20" s="70" t="s">
        <v>258</v>
      </c>
      <c r="C20" s="554" t="s">
        <v>20</v>
      </c>
      <c r="D20" s="70" t="s">
        <v>259</v>
      </c>
      <c r="E20" s="68"/>
    </row>
    <row r="21" spans="1:6">
      <c r="A21" s="69">
        <v>12</v>
      </c>
      <c r="B21" s="70" t="s">
        <v>50</v>
      </c>
      <c r="C21" s="554" t="s">
        <v>20</v>
      </c>
      <c r="D21" s="70" t="s">
        <v>260</v>
      </c>
      <c r="E21" s="68"/>
    </row>
    <row r="22" spans="1:6">
      <c r="A22" s="72"/>
      <c r="B22" s="73"/>
      <c r="C22" s="73"/>
      <c r="D22" s="73"/>
      <c r="E22" s="74"/>
    </row>
    <row r="23" spans="1:6">
      <c r="A23" s="75"/>
      <c r="B23" s="76"/>
      <c r="C23" s="76"/>
      <c r="D23" s="77" t="s">
        <v>261</v>
      </c>
      <c r="E23" s="78"/>
    </row>
    <row r="26" spans="1:6">
      <c r="D26" s="79" t="s">
        <v>262</v>
      </c>
      <c r="E26" s="80"/>
      <c r="F26" s="80"/>
    </row>
    <row r="27" spans="1:6" ht="4.5" customHeight="1"/>
    <row r="28" spans="1:6">
      <c r="C28" s="695" t="s">
        <v>165</v>
      </c>
      <c r="D28" s="695"/>
      <c r="E28" s="695"/>
      <c r="F28" s="695"/>
    </row>
    <row r="29" spans="1:6">
      <c r="C29" s="695" t="s">
        <v>166</v>
      </c>
      <c r="D29" s="695"/>
      <c r="E29" s="695"/>
      <c r="F29" s="695"/>
    </row>
    <row r="30" spans="1:6">
      <c r="C30" s="695"/>
      <c r="D30" s="695"/>
      <c r="E30" s="695"/>
      <c r="F30" s="695"/>
    </row>
    <row r="31" spans="1:6">
      <c r="C31" s="81"/>
      <c r="D31" s="81"/>
      <c r="E31" s="81"/>
      <c r="F31" s="81"/>
    </row>
    <row r="32" spans="1:6">
      <c r="C32" s="81"/>
      <c r="D32" s="81"/>
      <c r="E32" s="81"/>
      <c r="F32" s="81"/>
    </row>
    <row r="33" spans="3:6" ht="15.75" customHeight="1">
      <c r="C33" s="722" t="s">
        <v>167</v>
      </c>
      <c r="D33" s="722"/>
      <c r="E33" s="722"/>
      <c r="F33" s="722"/>
    </row>
    <row r="34" spans="3:6">
      <c r="C34" s="695" t="s">
        <v>168</v>
      </c>
      <c r="D34" s="723"/>
      <c r="E34" s="723"/>
      <c r="F34" s="723"/>
    </row>
  </sheetData>
  <mergeCells count="10">
    <mergeCell ref="C28:F28"/>
    <mergeCell ref="C29:F29"/>
    <mergeCell ref="C30:F30"/>
    <mergeCell ref="C33:F33"/>
    <mergeCell ref="C34:F34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="87" zoomScaleNormal="87" workbookViewId="0">
      <selection activeCell="X7" sqref="X7"/>
    </sheetView>
  </sheetViews>
  <sheetFormatPr defaultColWidth="9.140625" defaultRowHeight="15"/>
  <cols>
    <col min="1" max="1" width="3.7109375" style="10" customWidth="1"/>
    <col min="2" max="2" width="26" style="10" customWidth="1"/>
    <col min="3" max="3" width="17" style="10" customWidth="1"/>
    <col min="4" max="4" width="17.140625" style="10" customWidth="1"/>
    <col min="5" max="5" width="17.42578125" style="10" customWidth="1"/>
    <col min="6" max="6" width="16.28515625" style="10" customWidth="1"/>
    <col min="7" max="7" width="14.5703125" style="10" customWidth="1"/>
    <col min="8" max="8" width="16.85546875" style="10" customWidth="1"/>
    <col min="9" max="9" width="9.7109375" style="10" customWidth="1"/>
    <col min="10" max="10" width="0.5703125" style="10" hidden="1" customWidth="1"/>
    <col min="11" max="11" width="15.140625" style="10" hidden="1" customWidth="1"/>
    <col min="12" max="12" width="12" style="10" hidden="1" customWidth="1"/>
    <col min="13" max="13" width="12.42578125" style="10" hidden="1" customWidth="1"/>
    <col min="14" max="19" width="9.140625" style="10" hidden="1" customWidth="1"/>
    <col min="20" max="16384" width="9.140625" style="10"/>
  </cols>
  <sheetData>
    <row r="1" spans="1:19" ht="23.25">
      <c r="A1" s="724" t="s">
        <v>263</v>
      </c>
      <c r="B1" s="724"/>
      <c r="C1" s="724"/>
      <c r="D1" s="724"/>
      <c r="E1" s="724"/>
      <c r="F1" s="724"/>
      <c r="G1" s="724"/>
      <c r="H1" s="724"/>
      <c r="I1" s="49"/>
      <c r="J1" s="49"/>
    </row>
    <row r="2" spans="1:19" ht="23.25">
      <c r="A2" s="724" t="s">
        <v>166</v>
      </c>
      <c r="B2" s="724"/>
      <c r="C2" s="724"/>
      <c r="D2" s="724"/>
      <c r="E2" s="724"/>
      <c r="F2" s="724"/>
      <c r="G2" s="724"/>
      <c r="H2" s="724"/>
      <c r="I2" s="49"/>
      <c r="J2" s="49"/>
    </row>
    <row r="3" spans="1:19" ht="23.25">
      <c r="A3" s="724" t="s">
        <v>264</v>
      </c>
      <c r="B3" s="724"/>
      <c r="C3" s="724"/>
      <c r="D3" s="724"/>
      <c r="E3" s="724"/>
      <c r="F3" s="724"/>
      <c r="G3" s="724"/>
      <c r="H3" s="724"/>
      <c r="I3" s="49"/>
      <c r="J3" s="49"/>
    </row>
    <row r="5" spans="1:19" ht="30" customHeight="1">
      <c r="A5" s="11" t="s">
        <v>118</v>
      </c>
      <c r="B5" s="12" t="s">
        <v>207</v>
      </c>
      <c r="C5" s="12" t="s">
        <v>265</v>
      </c>
      <c r="D5" s="12" t="s">
        <v>209</v>
      </c>
      <c r="E5" s="12" t="s">
        <v>216</v>
      </c>
      <c r="F5" s="13" t="s">
        <v>217</v>
      </c>
      <c r="G5" s="13" t="s">
        <v>212</v>
      </c>
      <c r="H5" s="13" t="s">
        <v>213</v>
      </c>
      <c r="K5" s="50" t="s">
        <v>214</v>
      </c>
      <c r="L5" s="50"/>
      <c r="M5" s="50" t="s">
        <v>215</v>
      </c>
      <c r="O5" s="12" t="s">
        <v>216</v>
      </c>
      <c r="Q5" s="13" t="s">
        <v>217</v>
      </c>
      <c r="S5" s="13" t="s">
        <v>212</v>
      </c>
    </row>
    <row r="6" spans="1:19" ht="20.100000000000001" customHeight="1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O6" s="15">
        <v>5</v>
      </c>
      <c r="Q6" s="15">
        <v>6</v>
      </c>
      <c r="S6" s="15">
        <v>7</v>
      </c>
    </row>
    <row r="7" spans="1:19" ht="20.100000000000001" customHeight="1">
      <c r="A7" s="16">
        <v>1</v>
      </c>
      <c r="B7" s="17" t="s">
        <v>82</v>
      </c>
      <c r="C7" s="18">
        <v>26</v>
      </c>
      <c r="D7" s="19">
        <v>85</v>
      </c>
      <c r="E7" s="20">
        <v>2</v>
      </c>
      <c r="F7" s="20">
        <v>8</v>
      </c>
      <c r="G7" s="20">
        <v>2</v>
      </c>
      <c r="H7" s="21">
        <f t="shared" ref="H7:H17" si="0">G7+F7+E7+D7+C7</f>
        <v>123</v>
      </c>
      <c r="K7" s="10">
        <v>90</v>
      </c>
      <c r="L7" s="10">
        <v>5</v>
      </c>
      <c r="M7" s="10">
        <v>90</v>
      </c>
      <c r="N7" s="10">
        <v>1</v>
      </c>
      <c r="O7" s="51">
        <v>29</v>
      </c>
      <c r="P7" s="10">
        <v>1</v>
      </c>
      <c r="Q7" s="21">
        <v>10</v>
      </c>
      <c r="S7" s="21">
        <v>0</v>
      </c>
    </row>
    <row r="8" spans="1:19" ht="20.100000000000001" customHeight="1">
      <c r="A8" s="22">
        <v>2</v>
      </c>
      <c r="B8" s="23" t="s">
        <v>67</v>
      </c>
      <c r="C8" s="18">
        <v>82</v>
      </c>
      <c r="D8" s="24">
        <v>10</v>
      </c>
      <c r="E8" s="20">
        <v>2</v>
      </c>
      <c r="F8" s="18">
        <v>20</v>
      </c>
      <c r="G8" s="20">
        <v>2</v>
      </c>
      <c r="H8" s="25">
        <f t="shared" si="0"/>
        <v>116</v>
      </c>
      <c r="I8" s="52"/>
      <c r="J8" s="53">
        <v>32</v>
      </c>
      <c r="K8" s="54">
        <v>259</v>
      </c>
      <c r="L8" s="10">
        <f>10/100*100</f>
        <v>10</v>
      </c>
      <c r="M8" s="25">
        <v>46</v>
      </c>
      <c r="N8" s="10">
        <v>1</v>
      </c>
      <c r="O8" s="55">
        <v>4</v>
      </c>
      <c r="P8" s="10">
        <v>2</v>
      </c>
      <c r="Q8" s="25">
        <v>15</v>
      </c>
      <c r="S8" s="25">
        <v>5</v>
      </c>
    </row>
    <row r="9" spans="1:19" ht="20.100000000000001" customHeight="1">
      <c r="A9" s="26">
        <v>3</v>
      </c>
      <c r="B9" s="27" t="s">
        <v>68</v>
      </c>
      <c r="C9" s="28">
        <v>75</v>
      </c>
      <c r="D9" s="24">
        <v>293</v>
      </c>
      <c r="E9" s="29">
        <v>2</v>
      </c>
      <c r="F9" s="18">
        <v>9</v>
      </c>
      <c r="G9" s="20">
        <v>1</v>
      </c>
      <c r="H9" s="25">
        <f t="shared" si="0"/>
        <v>380</v>
      </c>
      <c r="J9" s="41">
        <f>K9*10/100</f>
        <v>21.9</v>
      </c>
      <c r="K9" s="25">
        <v>219</v>
      </c>
      <c r="L9" s="10">
        <f>10/100*100</f>
        <v>10</v>
      </c>
      <c r="M9" s="25">
        <v>295</v>
      </c>
      <c r="N9" s="10">
        <v>1</v>
      </c>
      <c r="O9" s="55">
        <v>34</v>
      </c>
      <c r="P9" s="10">
        <v>1</v>
      </c>
      <c r="Q9" s="25">
        <v>14</v>
      </c>
      <c r="S9" s="25">
        <v>5</v>
      </c>
    </row>
    <row r="10" spans="1:19" ht="20.100000000000001" customHeight="1">
      <c r="A10" s="26">
        <v>4</v>
      </c>
      <c r="B10" s="27" t="s">
        <v>69</v>
      </c>
      <c r="C10" s="30">
        <v>65</v>
      </c>
      <c r="D10" s="31">
        <v>32</v>
      </c>
      <c r="E10" s="20">
        <v>9</v>
      </c>
      <c r="F10" s="20">
        <v>11</v>
      </c>
      <c r="G10" s="20">
        <v>2</v>
      </c>
      <c r="H10" s="25">
        <f t="shared" si="0"/>
        <v>119</v>
      </c>
      <c r="J10" s="41">
        <f>K10*15/100</f>
        <v>40.200000000000003</v>
      </c>
      <c r="K10" s="25">
        <v>268</v>
      </c>
      <c r="L10" s="10">
        <f>5/100*100</f>
        <v>5</v>
      </c>
      <c r="M10" s="25">
        <v>70</v>
      </c>
      <c r="N10" s="10">
        <v>1</v>
      </c>
      <c r="O10" s="55">
        <v>19</v>
      </c>
      <c r="P10" s="10">
        <v>2</v>
      </c>
      <c r="Q10" s="25">
        <v>17</v>
      </c>
      <c r="S10" s="25">
        <v>2</v>
      </c>
    </row>
    <row r="11" spans="1:19" ht="20.100000000000001" customHeight="1">
      <c r="A11" s="26">
        <v>5</v>
      </c>
      <c r="B11" s="32" t="s">
        <v>70</v>
      </c>
      <c r="C11" s="18">
        <v>0</v>
      </c>
      <c r="D11" s="24">
        <v>0</v>
      </c>
      <c r="E11" s="20">
        <v>0</v>
      </c>
      <c r="F11" s="33">
        <v>0</v>
      </c>
      <c r="G11" s="34">
        <v>0</v>
      </c>
      <c r="H11" s="25">
        <f t="shared" si="0"/>
        <v>0</v>
      </c>
      <c r="K11" s="25">
        <v>0</v>
      </c>
      <c r="M11" s="25">
        <v>0</v>
      </c>
      <c r="O11" s="56">
        <f>-Q11</f>
        <v>0</v>
      </c>
      <c r="Q11" s="25">
        <v>0</v>
      </c>
      <c r="S11" s="25">
        <v>0</v>
      </c>
    </row>
    <row r="12" spans="1:19" ht="20.100000000000001" customHeight="1">
      <c r="A12" s="26">
        <v>6</v>
      </c>
      <c r="B12" s="27" t="s">
        <v>71</v>
      </c>
      <c r="C12" s="18">
        <v>49</v>
      </c>
      <c r="D12" s="24">
        <v>280</v>
      </c>
      <c r="E12" s="18">
        <v>1</v>
      </c>
      <c r="F12" s="20">
        <v>20</v>
      </c>
      <c r="G12" s="20">
        <v>2</v>
      </c>
      <c r="H12" s="25">
        <f t="shared" si="0"/>
        <v>352</v>
      </c>
      <c r="J12" s="41">
        <f>K12*10/100</f>
        <v>12.5</v>
      </c>
      <c r="K12" s="25">
        <v>125</v>
      </c>
      <c r="L12" s="10">
        <f>6/100*100</f>
        <v>6</v>
      </c>
      <c r="M12" s="25">
        <v>470</v>
      </c>
      <c r="N12" s="10">
        <v>1</v>
      </c>
      <c r="O12" s="55">
        <v>1</v>
      </c>
      <c r="P12" s="10">
        <v>1</v>
      </c>
      <c r="Q12" s="25">
        <v>5</v>
      </c>
      <c r="S12" s="25">
        <v>3</v>
      </c>
    </row>
    <row r="13" spans="1:19" ht="20.100000000000001" customHeight="1">
      <c r="A13" s="26">
        <v>7</v>
      </c>
      <c r="B13" s="27" t="s">
        <v>72</v>
      </c>
      <c r="C13" s="18">
        <v>247</v>
      </c>
      <c r="D13" s="24">
        <v>571</v>
      </c>
      <c r="E13" s="20">
        <v>1</v>
      </c>
      <c r="F13" s="18">
        <v>34</v>
      </c>
      <c r="G13" s="20">
        <v>2</v>
      </c>
      <c r="H13" s="25">
        <f t="shared" si="0"/>
        <v>855</v>
      </c>
      <c r="J13" s="41">
        <f>K13*10/100</f>
        <v>25.1</v>
      </c>
      <c r="K13" s="25">
        <v>251</v>
      </c>
      <c r="L13" s="10">
        <f>10/100*100</f>
        <v>10</v>
      </c>
      <c r="M13" s="25">
        <v>520</v>
      </c>
      <c r="N13" s="10">
        <v>1</v>
      </c>
      <c r="O13" s="55">
        <v>2</v>
      </c>
      <c r="Q13" s="25">
        <v>13</v>
      </c>
      <c r="S13" s="25">
        <v>3</v>
      </c>
    </row>
    <row r="14" spans="1:19" ht="20.100000000000001" customHeight="1">
      <c r="A14" s="26">
        <v>8</v>
      </c>
      <c r="B14" s="27" t="s">
        <v>73</v>
      </c>
      <c r="C14" s="18">
        <v>51</v>
      </c>
      <c r="D14" s="31">
        <v>183</v>
      </c>
      <c r="E14" s="20">
        <v>1</v>
      </c>
      <c r="F14" s="20">
        <v>18</v>
      </c>
      <c r="G14" s="20">
        <v>2</v>
      </c>
      <c r="H14" s="25">
        <f t="shared" si="0"/>
        <v>255</v>
      </c>
      <c r="J14" s="41">
        <f>K14*10/100</f>
        <v>4.5</v>
      </c>
      <c r="K14" s="25">
        <v>45</v>
      </c>
      <c r="L14" s="10">
        <f>6/100*100</f>
        <v>6</v>
      </c>
      <c r="M14" s="25">
        <v>209</v>
      </c>
      <c r="N14" s="10">
        <v>0</v>
      </c>
      <c r="O14" s="55">
        <v>0</v>
      </c>
      <c r="Q14" s="25">
        <v>0</v>
      </c>
      <c r="S14" s="25">
        <v>0</v>
      </c>
    </row>
    <row r="15" spans="1:19" ht="20.100000000000001" customHeight="1">
      <c r="A15" s="26">
        <v>9</v>
      </c>
      <c r="B15" s="27" t="s">
        <v>74</v>
      </c>
      <c r="C15" s="18">
        <v>188</v>
      </c>
      <c r="D15" s="24">
        <v>308</v>
      </c>
      <c r="E15" s="20">
        <v>1</v>
      </c>
      <c r="F15" s="20">
        <v>44</v>
      </c>
      <c r="G15" s="20">
        <v>0</v>
      </c>
      <c r="H15" s="25">
        <f t="shared" si="0"/>
        <v>541</v>
      </c>
      <c r="J15" s="41">
        <v>20</v>
      </c>
      <c r="K15" s="25">
        <v>275</v>
      </c>
      <c r="L15" s="10">
        <v>15</v>
      </c>
      <c r="M15" s="25">
        <v>350</v>
      </c>
      <c r="N15" s="10">
        <v>0</v>
      </c>
      <c r="O15" s="55">
        <v>0</v>
      </c>
      <c r="P15" s="10">
        <v>2</v>
      </c>
      <c r="Q15" s="25">
        <v>28</v>
      </c>
      <c r="S15" s="25">
        <v>3</v>
      </c>
    </row>
    <row r="16" spans="1:19" ht="20.100000000000001" customHeight="1">
      <c r="A16" s="26">
        <v>10</v>
      </c>
      <c r="B16" s="27" t="s">
        <v>75</v>
      </c>
      <c r="C16" s="18">
        <v>6</v>
      </c>
      <c r="D16" s="24">
        <v>10</v>
      </c>
      <c r="E16" s="20">
        <v>2</v>
      </c>
      <c r="F16" s="20">
        <v>1</v>
      </c>
      <c r="G16" s="20">
        <v>2</v>
      </c>
      <c r="H16" s="25">
        <f t="shared" si="0"/>
        <v>21</v>
      </c>
      <c r="J16" s="41">
        <v>10</v>
      </c>
      <c r="K16" s="25">
        <v>60</v>
      </c>
      <c r="L16" s="10">
        <v>1</v>
      </c>
      <c r="M16" s="25">
        <v>15</v>
      </c>
      <c r="N16" s="10">
        <v>1</v>
      </c>
      <c r="O16" s="55">
        <v>3</v>
      </c>
      <c r="Q16" s="25">
        <v>0</v>
      </c>
      <c r="S16" s="25">
        <v>0</v>
      </c>
    </row>
    <row r="17" spans="1:19" ht="20.100000000000001" customHeight="1">
      <c r="A17" s="26">
        <v>11</v>
      </c>
      <c r="B17" s="35" t="s">
        <v>76</v>
      </c>
      <c r="C17" s="18">
        <v>123</v>
      </c>
      <c r="D17" s="36">
        <v>563</v>
      </c>
      <c r="E17" s="20">
        <v>1</v>
      </c>
      <c r="F17" s="20">
        <v>35</v>
      </c>
      <c r="G17" s="20">
        <v>2</v>
      </c>
      <c r="H17" s="25">
        <f t="shared" si="0"/>
        <v>724</v>
      </c>
      <c r="J17" s="41">
        <f>K17*15/100</f>
        <v>34.5</v>
      </c>
      <c r="K17" s="25">
        <v>230</v>
      </c>
      <c r="L17" s="10">
        <v>15</v>
      </c>
      <c r="M17" s="25">
        <v>460</v>
      </c>
      <c r="N17" s="10">
        <v>1</v>
      </c>
      <c r="O17" s="55">
        <v>3</v>
      </c>
      <c r="P17" s="10">
        <v>1</v>
      </c>
      <c r="Q17" s="25">
        <v>12</v>
      </c>
      <c r="S17" s="25">
        <v>2</v>
      </c>
    </row>
    <row r="18" spans="1:19" ht="24.95" customHeight="1">
      <c r="A18" s="725" t="s">
        <v>77</v>
      </c>
      <c r="B18" s="726"/>
      <c r="C18" s="37">
        <f t="shared" ref="C18:H18" si="1">SUM(C7:C17)</f>
        <v>912</v>
      </c>
      <c r="D18" s="38">
        <f t="shared" si="1"/>
        <v>2335</v>
      </c>
      <c r="E18" s="39">
        <f t="shared" si="1"/>
        <v>22</v>
      </c>
      <c r="F18" s="39">
        <f t="shared" si="1"/>
        <v>200</v>
      </c>
      <c r="G18" s="39">
        <f t="shared" si="1"/>
        <v>17</v>
      </c>
      <c r="H18" s="40">
        <f t="shared" si="1"/>
        <v>3486</v>
      </c>
    </row>
    <row r="19" spans="1:19">
      <c r="C19" s="41"/>
    </row>
    <row r="20" spans="1:19">
      <c r="A20" s="10" t="s">
        <v>218</v>
      </c>
      <c r="B20" s="42" t="s">
        <v>266</v>
      </c>
      <c r="E20" s="727" t="s">
        <v>267</v>
      </c>
      <c r="F20" s="728"/>
      <c r="G20" s="728"/>
      <c r="H20" s="728"/>
    </row>
    <row r="21" spans="1:19">
      <c r="B21" s="42" t="s">
        <v>221</v>
      </c>
      <c r="E21" s="43"/>
      <c r="F21" s="43"/>
      <c r="G21" s="43"/>
      <c r="H21" s="43"/>
    </row>
    <row r="22" spans="1:19">
      <c r="B22" s="42" t="s">
        <v>222</v>
      </c>
      <c r="E22" s="638" t="s">
        <v>165</v>
      </c>
      <c r="F22" s="638"/>
      <c r="G22" s="638"/>
      <c r="H22" s="638"/>
    </row>
    <row r="23" spans="1:19">
      <c r="E23" s="638" t="s">
        <v>166</v>
      </c>
      <c r="F23" s="638"/>
      <c r="G23" s="638"/>
      <c r="H23" s="638"/>
    </row>
    <row r="24" spans="1:19">
      <c r="E24" s="638"/>
      <c r="F24" s="638"/>
      <c r="G24" s="638"/>
      <c r="H24" s="638"/>
      <c r="I24" s="43"/>
      <c r="J24" s="43"/>
    </row>
    <row r="25" spans="1:19">
      <c r="E25" s="45"/>
      <c r="F25" s="45"/>
      <c r="G25" s="45"/>
      <c r="H25" s="45"/>
      <c r="I25" s="43"/>
      <c r="J25" s="43"/>
    </row>
    <row r="26" spans="1:19">
      <c r="C26" s="43"/>
      <c r="E26" s="45"/>
      <c r="F26" s="45"/>
      <c r="G26" s="45"/>
      <c r="H26" s="45"/>
      <c r="I26" s="43"/>
      <c r="J26" s="43"/>
    </row>
    <row r="27" spans="1:19">
      <c r="E27" s="653" t="s">
        <v>167</v>
      </c>
      <c r="F27" s="653"/>
      <c r="G27" s="653"/>
      <c r="H27" s="653"/>
      <c r="I27" s="43"/>
      <c r="J27" s="43"/>
    </row>
    <row r="28" spans="1:19">
      <c r="E28" s="650" t="s">
        <v>268</v>
      </c>
      <c r="F28" s="637"/>
      <c r="G28" s="637"/>
      <c r="H28" s="637"/>
    </row>
    <row r="29" spans="1:19">
      <c r="E29" s="650" t="s">
        <v>269</v>
      </c>
      <c r="F29" s="637"/>
      <c r="G29" s="637"/>
      <c r="H29" s="637"/>
    </row>
    <row r="30" spans="1:19">
      <c r="G30" s="43"/>
      <c r="H30" s="43"/>
      <c r="I30" s="57"/>
      <c r="J30" s="57"/>
    </row>
    <row r="31" spans="1:19">
      <c r="G31" s="43"/>
      <c r="H31" s="43"/>
      <c r="I31" s="43"/>
      <c r="J31" s="43"/>
    </row>
    <row r="32" spans="1:19">
      <c r="G32" s="43"/>
      <c r="H32" s="43"/>
      <c r="I32" s="43"/>
      <c r="J32" s="43"/>
    </row>
    <row r="33" spans="7:10">
      <c r="G33" s="43"/>
      <c r="H33" s="43"/>
      <c r="I33" s="43"/>
      <c r="J33" s="43"/>
    </row>
    <row r="34" spans="7:10">
      <c r="I34" s="43"/>
      <c r="J34" s="43"/>
    </row>
    <row r="35" spans="7:10">
      <c r="I35" s="43"/>
      <c r="J35" s="43"/>
    </row>
  </sheetData>
  <mergeCells count="11">
    <mergeCell ref="A1:H1"/>
    <mergeCell ref="A2:H2"/>
    <mergeCell ref="A3:H3"/>
    <mergeCell ref="A18:B18"/>
    <mergeCell ref="E20:H20"/>
    <mergeCell ref="E29:H29"/>
    <mergeCell ref="E22:H22"/>
    <mergeCell ref="E23:H23"/>
    <mergeCell ref="E24:H24"/>
    <mergeCell ref="E27:H27"/>
    <mergeCell ref="E28:H28"/>
  </mergeCells>
  <pageMargins left="1.98" right="0.70866141732283505" top="0.31" bottom="0.35" header="0.31496062992126" footer="0.31496062992126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PERKECAMATAN 2024</vt:lpstr>
      <vt:lpstr>PERKOMODITI 2024</vt:lpstr>
      <vt:lpstr>REKAP ATAP 2024</vt:lpstr>
      <vt:lpstr>LA Perbulan</vt:lpstr>
      <vt:lpstr>LA Triwulan</vt:lpstr>
      <vt:lpstr>potensi 2023</vt:lpstr>
      <vt:lpstr>Estimasi 2023 KOMODITI</vt:lpstr>
      <vt:lpstr>manbun</vt:lpstr>
      <vt:lpstr>poten 2018</vt:lpstr>
      <vt:lpstr>Sheet2</vt:lpstr>
      <vt:lpstr>alasan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</dc:creator>
  <cp:lastModifiedBy>disbu</cp:lastModifiedBy>
  <cp:lastPrinted>2025-05-26T02:19:40Z</cp:lastPrinted>
  <dcterms:created xsi:type="dcterms:W3CDTF">2013-03-01T04:03:00Z</dcterms:created>
  <dcterms:modified xsi:type="dcterms:W3CDTF">2025-05-26T02:23:54Z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4F62742A77214CE68C9FBA08C993ECB1_12</vt:lpwstr>
  </property>
  <property fmtid="{D5CDD505-2E9C-101B-9397-08002B2CF9AE}" pid="3" name="KSOProductBuildVer">
    <vt:lpwstr>1033-12.2.0.13215</vt:lpwstr>
  </property>
</Properties>
</file>