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950" activeTab="2"/>
  </bookViews>
  <sheets>
    <sheet name="rekap ATAP 2021" sheetId="23" r:id="rId1"/>
    <sheet name="   Per.Kec  2021" sheetId="3" r:id="rId2"/>
    <sheet name=" kom 2021" sheetId="1" r:id="rId3"/>
    <sheet name="Sheet1" sheetId="20" r:id="rId4"/>
  </sheets>
  <calcPr calcId="145621"/>
</workbook>
</file>

<file path=xl/calcChain.xml><?xml version="1.0" encoding="utf-8"?>
<calcChain xmlns="http://schemas.openxmlformats.org/spreadsheetml/2006/main">
  <c r="Q58" i="1" l="1"/>
  <c r="Q60" i="1"/>
  <c r="Q61" i="1"/>
  <c r="C60" i="1"/>
  <c r="C61" i="1"/>
  <c r="S11" i="1"/>
  <c r="E11" i="1"/>
  <c r="C235" i="1"/>
  <c r="H417" i="1"/>
  <c r="I22" i="23"/>
  <c r="C58" i="1"/>
  <c r="J198" i="1" l="1"/>
  <c r="J100" i="1" l="1"/>
  <c r="J190" i="1"/>
  <c r="D462" i="1"/>
  <c r="E462" i="1"/>
  <c r="F462" i="1"/>
  <c r="G462" i="1"/>
  <c r="I462" i="1"/>
  <c r="C462" i="1"/>
  <c r="H461" i="1"/>
  <c r="G454" i="1"/>
  <c r="C62" i="1" l="1"/>
  <c r="I58" i="1"/>
  <c r="N58" i="1" s="1"/>
  <c r="I59" i="1"/>
  <c r="L71" i="1"/>
  <c r="N59" i="1"/>
  <c r="N60" i="1"/>
  <c r="N61" i="1"/>
  <c r="N62" i="1"/>
  <c r="N63" i="1"/>
  <c r="N64" i="1"/>
  <c r="N65" i="1"/>
  <c r="J63" i="1"/>
  <c r="J59" i="1"/>
  <c r="J57" i="1"/>
  <c r="I21" i="1"/>
  <c r="J15" i="1" l="1"/>
  <c r="J13" i="1"/>
  <c r="J12" i="1"/>
  <c r="J10" i="1"/>
  <c r="H545" i="1" l="1"/>
  <c r="D500" i="1"/>
  <c r="E500" i="1"/>
  <c r="F500" i="1"/>
  <c r="G500" i="1"/>
  <c r="H500" i="1"/>
  <c r="I500" i="1"/>
  <c r="C500" i="1"/>
  <c r="L497" i="1"/>
  <c r="M497" i="1"/>
  <c r="N497" i="1"/>
  <c r="K497" i="1"/>
  <c r="D497" i="1"/>
  <c r="C497" i="1"/>
  <c r="D337" i="1"/>
  <c r="E337" i="1"/>
  <c r="G337" i="1"/>
  <c r="H337" i="1"/>
  <c r="I337" i="1"/>
  <c r="M327" i="1"/>
  <c r="L327" i="1"/>
  <c r="K327" i="1"/>
  <c r="D327" i="1"/>
  <c r="C327" i="1"/>
  <c r="I245" i="1"/>
  <c r="I240" i="1"/>
  <c r="N240" i="1" s="1"/>
  <c r="E240" i="1"/>
  <c r="D240" i="1"/>
  <c r="M240" i="1"/>
  <c r="L240" i="1"/>
  <c r="K240" i="1"/>
  <c r="E187" i="1"/>
  <c r="C187" i="1"/>
  <c r="C195" i="1"/>
  <c r="D195" i="1"/>
  <c r="K195" i="1" s="1"/>
  <c r="N193" i="1"/>
  <c r="N194" i="1"/>
  <c r="N195" i="1"/>
  <c r="N196" i="1"/>
  <c r="N197" i="1"/>
  <c r="N187" i="1"/>
  <c r="N188" i="1"/>
  <c r="N189" i="1"/>
  <c r="N190" i="1"/>
  <c r="N191" i="1"/>
  <c r="M187" i="1"/>
  <c r="M188" i="1"/>
  <c r="M189" i="1"/>
  <c r="M191" i="1"/>
  <c r="M192" i="1"/>
  <c r="M193" i="1"/>
  <c r="M194" i="1"/>
  <c r="M195" i="1"/>
  <c r="M196" i="1"/>
  <c r="M197" i="1"/>
  <c r="L191" i="1"/>
  <c r="L192" i="1"/>
  <c r="L193" i="1"/>
  <c r="L194" i="1"/>
  <c r="L195" i="1"/>
  <c r="L196" i="1"/>
  <c r="L197" i="1"/>
  <c r="L187" i="1"/>
  <c r="L188" i="1"/>
  <c r="L189" i="1"/>
  <c r="K191" i="1"/>
  <c r="K192" i="1"/>
  <c r="K193" i="1"/>
  <c r="K194" i="1"/>
  <c r="K196" i="1"/>
  <c r="K197" i="1"/>
  <c r="K187" i="1"/>
  <c r="K188" i="1"/>
  <c r="K189" i="1"/>
  <c r="E195" i="1"/>
  <c r="M190" i="1"/>
  <c r="L190" i="1"/>
  <c r="K190" i="1"/>
  <c r="E190" i="1"/>
  <c r="M140" i="1"/>
  <c r="M141" i="1"/>
  <c r="M142" i="1"/>
  <c r="M143" i="1"/>
  <c r="M144" i="1"/>
  <c r="M145" i="1"/>
  <c r="M148" i="1"/>
  <c r="L140" i="1"/>
  <c r="L141" i="1"/>
  <c r="L142" i="1"/>
  <c r="L143" i="1"/>
  <c r="L144" i="1"/>
  <c r="L145" i="1"/>
  <c r="L146" i="1"/>
  <c r="L148" i="1"/>
  <c r="K141" i="1"/>
  <c r="K142" i="1"/>
  <c r="K143" i="1"/>
  <c r="K144" i="1"/>
  <c r="K145" i="1"/>
  <c r="K146" i="1"/>
  <c r="K148" i="1"/>
  <c r="M149" i="1"/>
  <c r="L149" i="1"/>
  <c r="K149" i="1"/>
  <c r="E149" i="1"/>
  <c r="C149" i="1"/>
  <c r="C19" i="1" l="1"/>
  <c r="I15" i="1"/>
  <c r="E15" i="1"/>
  <c r="E13" i="1"/>
  <c r="N13" i="1"/>
  <c r="N12" i="1"/>
  <c r="N11" i="1"/>
  <c r="I12" i="1"/>
  <c r="E12" i="1"/>
  <c r="C12" i="1"/>
  <c r="I10" i="1"/>
  <c r="E10" i="1"/>
  <c r="K57" i="1" l="1"/>
  <c r="K68" i="1" s="1"/>
  <c r="E63" i="1"/>
  <c r="C63" i="1"/>
  <c r="I62" i="1"/>
  <c r="L62" i="1"/>
  <c r="D62" i="1"/>
  <c r="M61" i="1"/>
  <c r="E61" i="1"/>
  <c r="K61" i="1"/>
  <c r="D61" i="1"/>
  <c r="M60" i="1"/>
  <c r="K60" i="1"/>
  <c r="D60" i="1"/>
  <c r="E60" i="1"/>
  <c r="K59" i="1"/>
  <c r="C59" i="1"/>
  <c r="D59" i="1"/>
  <c r="E59" i="1"/>
  <c r="D58" i="1"/>
  <c r="E58" i="1"/>
  <c r="K58" i="1"/>
  <c r="I57" i="1"/>
  <c r="E57" i="1"/>
  <c r="C57" i="1"/>
  <c r="D15" i="1" l="1"/>
  <c r="C15" i="1" l="1"/>
  <c r="I25" i="23" l="1"/>
  <c r="D336" i="1"/>
  <c r="U336" i="1"/>
  <c r="G326" i="1"/>
  <c r="G327" i="1"/>
  <c r="H342" i="1" l="1"/>
  <c r="J18" i="23" l="1"/>
  <c r="I100" i="1" l="1"/>
  <c r="N100" i="1" s="1"/>
  <c r="I196" i="1" l="1"/>
  <c r="N192" i="1"/>
  <c r="I192" i="1"/>
  <c r="N19" i="1"/>
  <c r="I19" i="1"/>
  <c r="I16" i="23" l="1"/>
  <c r="H656" i="1" l="1"/>
  <c r="W655" i="1"/>
  <c r="S655" i="1"/>
  <c r="I655" i="1"/>
  <c r="I656" i="1" s="1"/>
  <c r="E655" i="1"/>
  <c r="E656" i="1" s="1"/>
  <c r="T648" i="1"/>
  <c r="F648" i="1"/>
  <c r="R644" i="1"/>
  <c r="R655" i="1" s="1"/>
  <c r="U655" i="1" s="1"/>
  <c r="Q644" i="1"/>
  <c r="Q655" i="1" s="1"/>
  <c r="M644" i="1"/>
  <c r="D644" i="1"/>
  <c r="C644" i="1"/>
  <c r="K644" i="1" s="1"/>
  <c r="H621" i="1"/>
  <c r="U620" i="1"/>
  <c r="R620" i="1"/>
  <c r="Q620" i="1"/>
  <c r="D620" i="1"/>
  <c r="D621" i="1" s="1"/>
  <c r="C620" i="1"/>
  <c r="T617" i="1"/>
  <c r="F617" i="1"/>
  <c r="T616" i="1"/>
  <c r="K616" i="1"/>
  <c r="F616" i="1"/>
  <c r="W612" i="1"/>
  <c r="W620" i="1" s="1"/>
  <c r="U612" i="1"/>
  <c r="S612" i="1"/>
  <c r="S620" i="1" s="1"/>
  <c r="I612" i="1"/>
  <c r="I620" i="1" s="1"/>
  <c r="I621" i="1" s="1"/>
  <c r="G612" i="1"/>
  <c r="E612" i="1"/>
  <c r="E620" i="1" s="1"/>
  <c r="H582" i="1"/>
  <c r="R581" i="1"/>
  <c r="U581" i="1" s="1"/>
  <c r="Q581" i="1"/>
  <c r="G581" i="1"/>
  <c r="D581" i="1"/>
  <c r="C581" i="1"/>
  <c r="W574" i="1"/>
  <c r="W581" i="1" s="1"/>
  <c r="T574" i="1"/>
  <c r="S574" i="1"/>
  <c r="M574" i="1"/>
  <c r="I574" i="1"/>
  <c r="I581" i="1" s="1"/>
  <c r="I582" i="1" s="1"/>
  <c r="F574" i="1"/>
  <c r="E574" i="1"/>
  <c r="U573" i="1"/>
  <c r="S573" i="1"/>
  <c r="S581" i="1" s="1"/>
  <c r="L573" i="1"/>
  <c r="G573" i="1"/>
  <c r="E573" i="1"/>
  <c r="E581" i="1" s="1"/>
  <c r="W544" i="1"/>
  <c r="S544" i="1"/>
  <c r="R544" i="1"/>
  <c r="U544" i="1" s="1"/>
  <c r="Q544" i="1"/>
  <c r="I544" i="1"/>
  <c r="E544" i="1"/>
  <c r="D544" i="1"/>
  <c r="G544" i="1" s="1"/>
  <c r="C544" i="1"/>
  <c r="U543" i="1"/>
  <c r="T543" i="1"/>
  <c r="G543" i="1"/>
  <c r="F543" i="1"/>
  <c r="U542" i="1"/>
  <c r="T542" i="1"/>
  <c r="G542" i="1"/>
  <c r="F542" i="1"/>
  <c r="U537" i="1"/>
  <c r="T537" i="1"/>
  <c r="T544" i="1" s="1"/>
  <c r="G537" i="1"/>
  <c r="F537" i="1"/>
  <c r="F544" i="1" s="1"/>
  <c r="W499" i="1"/>
  <c r="S499" i="1"/>
  <c r="R499" i="1"/>
  <c r="U499" i="1" s="1"/>
  <c r="Q499" i="1"/>
  <c r="I499" i="1"/>
  <c r="E499" i="1"/>
  <c r="D499" i="1"/>
  <c r="G499" i="1" s="1"/>
  <c r="C499" i="1"/>
  <c r="U498" i="1"/>
  <c r="T498" i="1"/>
  <c r="G498" i="1"/>
  <c r="F498" i="1"/>
  <c r="U497" i="1"/>
  <c r="T497" i="1"/>
  <c r="T499" i="1" s="1"/>
  <c r="G497" i="1"/>
  <c r="F497" i="1"/>
  <c r="F499" i="1" s="1"/>
  <c r="W461" i="1"/>
  <c r="U461" i="1"/>
  <c r="S461" i="1"/>
  <c r="R461" i="1"/>
  <c r="Q461" i="1"/>
  <c r="I461" i="1"/>
  <c r="G461" i="1"/>
  <c r="E461" i="1"/>
  <c r="D461" i="1"/>
  <c r="C461" i="1"/>
  <c r="T454" i="1"/>
  <c r="T461" i="1" s="1"/>
  <c r="F454" i="1"/>
  <c r="F461" i="1" s="1"/>
  <c r="C454" i="1"/>
  <c r="W424" i="1"/>
  <c r="I425" i="1" s="1"/>
  <c r="S424" i="1"/>
  <c r="R424" i="1"/>
  <c r="Q424" i="1"/>
  <c r="I424" i="1"/>
  <c r="E424" i="1"/>
  <c r="D424" i="1"/>
  <c r="D425" i="1" s="1"/>
  <c r="C424" i="1"/>
  <c r="U417" i="1"/>
  <c r="U424" i="1" s="1"/>
  <c r="T417" i="1"/>
  <c r="G424" i="1"/>
  <c r="H425" i="1" s="1"/>
  <c r="F417" i="1"/>
  <c r="T416" i="1"/>
  <c r="F416" i="1"/>
  <c r="H382" i="1"/>
  <c r="R381" i="1"/>
  <c r="Q381" i="1"/>
  <c r="D381" i="1"/>
  <c r="D382" i="1" s="1"/>
  <c r="C381" i="1"/>
  <c r="C382" i="1" s="1"/>
  <c r="W374" i="1"/>
  <c r="W381" i="1" s="1"/>
  <c r="S374" i="1"/>
  <c r="S381" i="1" s="1"/>
  <c r="I374" i="1"/>
  <c r="I381" i="1" s="1"/>
  <c r="I382" i="1" s="1"/>
  <c r="E374" i="1"/>
  <c r="E381" i="1" s="1"/>
  <c r="E382" i="1" s="1"/>
  <c r="U372" i="1"/>
  <c r="U381" i="1" s="1"/>
  <c r="T372" i="1"/>
  <c r="G372" i="1"/>
  <c r="G381" i="1" s="1"/>
  <c r="F372" i="1"/>
  <c r="T370" i="1"/>
  <c r="F370" i="1"/>
  <c r="W336" i="1"/>
  <c r="S336" i="1"/>
  <c r="R336" i="1"/>
  <c r="Q336" i="1"/>
  <c r="I336" i="1"/>
  <c r="E336" i="1"/>
  <c r="G336" i="1"/>
  <c r="C336" i="1"/>
  <c r="C337" i="1" s="1"/>
  <c r="U329" i="1"/>
  <c r="T329" i="1"/>
  <c r="G329" i="1"/>
  <c r="F329" i="1"/>
  <c r="U327" i="1"/>
  <c r="T327" i="1"/>
  <c r="F327" i="1"/>
  <c r="U326" i="1"/>
  <c r="T326" i="1"/>
  <c r="F326" i="1"/>
  <c r="U325" i="1"/>
  <c r="T325" i="1"/>
  <c r="F325" i="1"/>
  <c r="W291" i="1"/>
  <c r="V291" i="1"/>
  <c r="S291" i="1"/>
  <c r="R291" i="1"/>
  <c r="Q291" i="1"/>
  <c r="I291" i="1"/>
  <c r="I292" i="1" s="1"/>
  <c r="H291" i="1"/>
  <c r="F291" i="1"/>
  <c r="E291" i="1"/>
  <c r="E292" i="1" s="1"/>
  <c r="D291" i="1"/>
  <c r="D292" i="1" s="1"/>
  <c r="C291" i="1"/>
  <c r="U290" i="1"/>
  <c r="T290" i="1"/>
  <c r="T291" i="1" s="1"/>
  <c r="G290" i="1"/>
  <c r="F290" i="1"/>
  <c r="U282" i="1"/>
  <c r="U291" i="1" s="1"/>
  <c r="G282" i="1"/>
  <c r="J246" i="1"/>
  <c r="H246" i="1"/>
  <c r="R245" i="1"/>
  <c r="U245" i="1" s="1"/>
  <c r="U241" i="1"/>
  <c r="S241" i="1"/>
  <c r="Q241" i="1"/>
  <c r="G241" i="1"/>
  <c r="E241" i="1"/>
  <c r="F241" i="1" s="1"/>
  <c r="C241" i="1"/>
  <c r="U240" i="1"/>
  <c r="T240" i="1"/>
  <c r="G240" i="1"/>
  <c r="F240" i="1"/>
  <c r="U239" i="1"/>
  <c r="T239" i="1"/>
  <c r="L239" i="1"/>
  <c r="E239" i="1"/>
  <c r="D239" i="1"/>
  <c r="D245" i="1" s="1"/>
  <c r="G245" i="1" s="1"/>
  <c r="C239" i="1"/>
  <c r="K239" i="1" s="1"/>
  <c r="U238" i="1"/>
  <c r="T238" i="1"/>
  <c r="G238" i="1"/>
  <c r="F238" i="1"/>
  <c r="U236" i="1"/>
  <c r="T236" i="1"/>
  <c r="G236" i="1"/>
  <c r="F236" i="1"/>
  <c r="U235" i="1"/>
  <c r="S235" i="1"/>
  <c r="Q235" i="1"/>
  <c r="G235" i="1"/>
  <c r="E235" i="1"/>
  <c r="C245" i="1"/>
  <c r="U234" i="1"/>
  <c r="T234" i="1"/>
  <c r="S234" i="1"/>
  <c r="G234" i="1"/>
  <c r="E234" i="1"/>
  <c r="H199" i="1"/>
  <c r="U197" i="1"/>
  <c r="T197" i="1"/>
  <c r="G197" i="1"/>
  <c r="F197" i="1"/>
  <c r="W196" i="1"/>
  <c r="U196" i="1"/>
  <c r="S196" i="1"/>
  <c r="T196" i="1" s="1"/>
  <c r="G196" i="1"/>
  <c r="E196" i="1"/>
  <c r="W195" i="1"/>
  <c r="R195" i="1"/>
  <c r="U195" i="1" s="1"/>
  <c r="Q195" i="1"/>
  <c r="I195" i="1"/>
  <c r="G195" i="1"/>
  <c r="W194" i="1"/>
  <c r="U194" i="1"/>
  <c r="S194" i="1"/>
  <c r="S198" i="1" s="1"/>
  <c r="I194" i="1"/>
  <c r="G194" i="1"/>
  <c r="E194" i="1"/>
  <c r="F194" i="1" s="1"/>
  <c r="R193" i="1"/>
  <c r="F193" i="1"/>
  <c r="D193" i="1"/>
  <c r="G193" i="1" s="1"/>
  <c r="U192" i="1"/>
  <c r="T192" i="1"/>
  <c r="E192" i="1"/>
  <c r="E198" i="1" s="1"/>
  <c r="E199" i="1" s="1"/>
  <c r="D192" i="1"/>
  <c r="C192" i="1"/>
  <c r="C198" i="1" s="1"/>
  <c r="W191" i="1"/>
  <c r="U191" i="1"/>
  <c r="T191" i="1"/>
  <c r="J191" i="1"/>
  <c r="I191" i="1"/>
  <c r="I198" i="1" s="1"/>
  <c r="G191" i="1"/>
  <c r="F191" i="1"/>
  <c r="U190" i="1"/>
  <c r="T190" i="1"/>
  <c r="G190" i="1"/>
  <c r="F190" i="1"/>
  <c r="U189" i="1"/>
  <c r="T189" i="1"/>
  <c r="G189" i="1"/>
  <c r="F189" i="1"/>
  <c r="U188" i="1"/>
  <c r="T188" i="1"/>
  <c r="G188" i="1"/>
  <c r="F188" i="1"/>
  <c r="U187" i="1"/>
  <c r="T187" i="1"/>
  <c r="G187" i="1"/>
  <c r="F187" i="1"/>
  <c r="H152" i="1"/>
  <c r="W151" i="1"/>
  <c r="R151" i="1"/>
  <c r="I151" i="1"/>
  <c r="I152" i="1" s="1"/>
  <c r="U149" i="1"/>
  <c r="T149" i="1"/>
  <c r="G149" i="1"/>
  <c r="F149" i="1"/>
  <c r="U148" i="1"/>
  <c r="Q148" i="1"/>
  <c r="Q151" i="1" s="1"/>
  <c r="G148" i="1"/>
  <c r="C148" i="1"/>
  <c r="U146" i="1"/>
  <c r="T146" i="1"/>
  <c r="G146" i="1"/>
  <c r="F146" i="1"/>
  <c r="U145" i="1"/>
  <c r="T145" i="1"/>
  <c r="E145" i="1"/>
  <c r="D145" i="1"/>
  <c r="C145" i="1"/>
  <c r="C151" i="1" s="1"/>
  <c r="C152" i="1" s="1"/>
  <c r="U144" i="1"/>
  <c r="T144" i="1"/>
  <c r="G144" i="1"/>
  <c r="F144" i="1"/>
  <c r="U143" i="1"/>
  <c r="S143" i="1"/>
  <c r="T143" i="1" s="1"/>
  <c r="G143" i="1"/>
  <c r="E143" i="1"/>
  <c r="F143" i="1" s="1"/>
  <c r="U142" i="1"/>
  <c r="T142" i="1"/>
  <c r="G142" i="1"/>
  <c r="F142" i="1"/>
  <c r="U141" i="1"/>
  <c r="T141" i="1"/>
  <c r="G141" i="1"/>
  <c r="F141" i="1"/>
  <c r="U140" i="1"/>
  <c r="U151" i="1" s="1"/>
  <c r="S140" i="1"/>
  <c r="S151" i="1" s="1"/>
  <c r="G140" i="1"/>
  <c r="E140" i="1"/>
  <c r="E151" i="1" s="1"/>
  <c r="E152" i="1" s="1"/>
  <c r="H107" i="1"/>
  <c r="W106" i="1"/>
  <c r="R106" i="1"/>
  <c r="Q106" i="1"/>
  <c r="I106" i="1"/>
  <c r="U104" i="1"/>
  <c r="T104" i="1"/>
  <c r="G104" i="1"/>
  <c r="F104" i="1"/>
  <c r="S103" i="1"/>
  <c r="T103" i="1" s="1"/>
  <c r="E103" i="1"/>
  <c r="F103" i="1" s="1"/>
  <c r="U100" i="1"/>
  <c r="S100" i="1"/>
  <c r="T100" i="1" s="1"/>
  <c r="E100" i="1"/>
  <c r="D100" i="1"/>
  <c r="L100" i="1" s="1"/>
  <c r="C100" i="1"/>
  <c r="C106" i="1" s="1"/>
  <c r="D14" i="23" s="1"/>
  <c r="U99" i="1"/>
  <c r="T99" i="1"/>
  <c r="L99" i="1"/>
  <c r="K99" i="1"/>
  <c r="G99" i="1"/>
  <c r="F99" i="1"/>
  <c r="U98" i="1"/>
  <c r="S98" i="1"/>
  <c r="S106" i="1" s="1"/>
  <c r="G98" i="1"/>
  <c r="E98" i="1"/>
  <c r="E106" i="1" s="1"/>
  <c r="E107" i="1" s="1"/>
  <c r="U97" i="1"/>
  <c r="T97" i="1"/>
  <c r="G97" i="1"/>
  <c r="F97" i="1"/>
  <c r="U96" i="1"/>
  <c r="T96" i="1"/>
  <c r="G96" i="1"/>
  <c r="F96" i="1"/>
  <c r="U95" i="1"/>
  <c r="T95" i="1"/>
  <c r="G95" i="1"/>
  <c r="F95" i="1"/>
  <c r="H69" i="1"/>
  <c r="R68" i="1"/>
  <c r="U68" i="1" s="1"/>
  <c r="Y65" i="1"/>
  <c r="U65" i="1"/>
  <c r="T65" i="1"/>
  <c r="E65" i="1"/>
  <c r="D65" i="1"/>
  <c r="G65" i="1" s="1"/>
  <c r="C65" i="1"/>
  <c r="L65" i="1" s="1"/>
  <c r="W64" i="1"/>
  <c r="U64" i="1"/>
  <c r="S64" i="1"/>
  <c r="T64" i="1" s="1"/>
  <c r="Q64" i="1"/>
  <c r="K64" i="1"/>
  <c r="I64" i="1"/>
  <c r="G64" i="1"/>
  <c r="E64" i="1"/>
  <c r="C64" i="1"/>
  <c r="L64" i="1" s="1"/>
  <c r="Y63" i="1"/>
  <c r="U63" i="1"/>
  <c r="S63" i="1"/>
  <c r="Q63" i="1"/>
  <c r="T63" i="1" s="1"/>
  <c r="K63" i="1"/>
  <c r="G63" i="1"/>
  <c r="M63" i="1"/>
  <c r="Y62" i="1"/>
  <c r="U62" i="1"/>
  <c r="S62" i="1"/>
  <c r="Q62" i="1"/>
  <c r="E62" i="1"/>
  <c r="M62" i="1" s="1"/>
  <c r="K62" i="1"/>
  <c r="W61" i="1"/>
  <c r="U61" i="1"/>
  <c r="T61" i="1"/>
  <c r="J61" i="1" s="1"/>
  <c r="I61" i="1"/>
  <c r="G61" i="1"/>
  <c r="F61" i="1"/>
  <c r="W60" i="1"/>
  <c r="U60" i="1"/>
  <c r="T60" i="1"/>
  <c r="I60" i="1"/>
  <c r="Y60" i="1" s="1"/>
  <c r="G60" i="1"/>
  <c r="L60" i="1"/>
  <c r="W59" i="1"/>
  <c r="U59" i="1"/>
  <c r="Q59" i="1"/>
  <c r="T59" i="1" s="1"/>
  <c r="Y59" i="1"/>
  <c r="G59" i="1"/>
  <c r="M59" i="1"/>
  <c r="L59" i="1"/>
  <c r="Y58" i="1"/>
  <c r="U58" i="1"/>
  <c r="S58" i="1"/>
  <c r="T58" i="1" s="1"/>
  <c r="G58" i="1"/>
  <c r="L58" i="1"/>
  <c r="W57" i="1"/>
  <c r="N57" i="1" s="1"/>
  <c r="U57" i="1"/>
  <c r="S57" i="1"/>
  <c r="S68" i="1" s="1"/>
  <c r="Q57" i="1"/>
  <c r="L57" i="1"/>
  <c r="G57" i="1"/>
  <c r="E68" i="1"/>
  <c r="E69" i="1" s="1"/>
  <c r="H22" i="1"/>
  <c r="R21" i="1"/>
  <c r="U21" i="1" s="1"/>
  <c r="Q21" i="1"/>
  <c r="W20" i="1"/>
  <c r="U20" i="1"/>
  <c r="S20" i="1"/>
  <c r="T20" i="1" s="1"/>
  <c r="I20" i="1"/>
  <c r="G20" i="1"/>
  <c r="E20" i="1"/>
  <c r="F20" i="1" s="1"/>
  <c r="U19" i="1"/>
  <c r="T19" i="1"/>
  <c r="L19" i="1"/>
  <c r="G19" i="1"/>
  <c r="E19" i="1"/>
  <c r="M19" i="1" s="1"/>
  <c r="K19" i="1"/>
  <c r="W15" i="1"/>
  <c r="N15" i="1" s="1"/>
  <c r="U15" i="1"/>
  <c r="S15" i="1"/>
  <c r="T15" i="1" s="1"/>
  <c r="M15" i="1"/>
  <c r="G15" i="1"/>
  <c r="C21" i="1"/>
  <c r="C22" i="1" s="1"/>
  <c r="W14" i="1"/>
  <c r="U14" i="1"/>
  <c r="S14" i="1"/>
  <c r="T14" i="1" s="1"/>
  <c r="L14" i="1"/>
  <c r="K14" i="1"/>
  <c r="I14" i="1"/>
  <c r="G14" i="1"/>
  <c r="E14" i="1"/>
  <c r="U13" i="1"/>
  <c r="S13" i="1"/>
  <c r="T13" i="1" s="1"/>
  <c r="L13" i="1"/>
  <c r="K13" i="1"/>
  <c r="G13" i="1"/>
  <c r="M13" i="1"/>
  <c r="W12" i="1"/>
  <c r="U12" i="1"/>
  <c r="S12" i="1"/>
  <c r="T12" i="1" s="1"/>
  <c r="K12" i="1"/>
  <c r="M12" i="1"/>
  <c r="D12" i="1"/>
  <c r="L12" i="1" s="1"/>
  <c r="U11" i="1"/>
  <c r="T11" i="1"/>
  <c r="L11" i="1"/>
  <c r="K11" i="1"/>
  <c r="G11" i="1"/>
  <c r="M11" i="1"/>
  <c r="W10" i="1"/>
  <c r="N10" i="1" s="1"/>
  <c r="U10" i="1"/>
  <c r="S10" i="1"/>
  <c r="S21" i="1" s="1"/>
  <c r="L10" i="1"/>
  <c r="K10" i="1"/>
  <c r="G10" i="1"/>
  <c r="E21" i="1"/>
  <c r="E22" i="1" s="1"/>
  <c r="C292" i="1" l="1"/>
  <c r="F292" i="1"/>
  <c r="G100" i="1"/>
  <c r="D106" i="1"/>
  <c r="D107" i="1" s="1"/>
  <c r="G145" i="1"/>
  <c r="G151" i="1" s="1"/>
  <c r="G152" i="1" s="1"/>
  <c r="C246" i="1"/>
  <c r="E425" i="1"/>
  <c r="D582" i="1"/>
  <c r="C582" i="1"/>
  <c r="E621" i="1"/>
  <c r="T612" i="1"/>
  <c r="T620" i="1" s="1"/>
  <c r="C621" i="1"/>
  <c r="G620" i="1"/>
  <c r="G621" i="1" s="1"/>
  <c r="L644" i="1"/>
  <c r="D655" i="1"/>
  <c r="D656" i="1" s="1"/>
  <c r="Z61" i="1"/>
  <c r="F10" i="1"/>
  <c r="G12" i="1"/>
  <c r="W21" i="1"/>
  <c r="I22" i="1" s="1"/>
  <c r="F13" i="1"/>
  <c r="M14" i="1"/>
  <c r="F15" i="1"/>
  <c r="Y57" i="1"/>
  <c r="M58" i="1"/>
  <c r="F60" i="1"/>
  <c r="L61" i="1"/>
  <c r="T62" i="1"/>
  <c r="L63" i="1"/>
  <c r="L68" i="1" s="1"/>
  <c r="M64" i="1"/>
  <c r="Y64" i="1"/>
  <c r="F65" i="1"/>
  <c r="Z65" i="1" s="1"/>
  <c r="M65" i="1"/>
  <c r="G106" i="1"/>
  <c r="H108" i="1" s="1"/>
  <c r="U106" i="1"/>
  <c r="F98" i="1"/>
  <c r="M98" i="1"/>
  <c r="T98" i="1"/>
  <c r="T106" i="1" s="1"/>
  <c r="M100" i="1"/>
  <c r="I107" i="1"/>
  <c r="F140" i="1"/>
  <c r="T140" i="1"/>
  <c r="I199" i="1"/>
  <c r="W198" i="1"/>
  <c r="D198" i="1"/>
  <c r="F198" i="1" s="1"/>
  <c r="F199" i="1" s="1"/>
  <c r="G192" i="1"/>
  <c r="R198" i="1"/>
  <c r="F195" i="1"/>
  <c r="T195" i="1"/>
  <c r="F196" i="1"/>
  <c r="J196" i="1" s="1"/>
  <c r="S245" i="1"/>
  <c r="Q245" i="1"/>
  <c r="G239" i="1"/>
  <c r="T241" i="1"/>
  <c r="G291" i="1"/>
  <c r="H293" i="1" s="1"/>
  <c r="H292" i="1"/>
  <c r="I28" i="23"/>
  <c r="F336" i="1"/>
  <c r="F337" i="1" s="1"/>
  <c r="T336" i="1"/>
  <c r="F424" i="1"/>
  <c r="T424" i="1"/>
  <c r="G582" i="1"/>
  <c r="L15" i="1"/>
  <c r="L22" i="1" s="1"/>
  <c r="D21" i="1"/>
  <c r="F64" i="1"/>
  <c r="G107" i="1"/>
  <c r="C107" i="1"/>
  <c r="F109" i="1"/>
  <c r="M10" i="1"/>
  <c r="M22" i="1" s="1"/>
  <c r="T10" i="1"/>
  <c r="T21" i="1" s="1"/>
  <c r="F11" i="1"/>
  <c r="J11" i="1" s="1"/>
  <c r="J21" i="1" s="1"/>
  <c r="F12" i="1"/>
  <c r="F14" i="1"/>
  <c r="K15" i="1"/>
  <c r="K22" i="1" s="1"/>
  <c r="C68" i="1"/>
  <c r="F57" i="1"/>
  <c r="I68" i="1"/>
  <c r="M57" i="1"/>
  <c r="Q68" i="1"/>
  <c r="T57" i="1"/>
  <c r="T68" i="1" s="1"/>
  <c r="W68" i="1"/>
  <c r="F59" i="1"/>
  <c r="Y61" i="1"/>
  <c r="D68" i="1"/>
  <c r="G62" i="1"/>
  <c r="F62" i="1"/>
  <c r="J62" i="1" s="1"/>
  <c r="F63" i="1"/>
  <c r="T198" i="1"/>
  <c r="F19" i="1"/>
  <c r="F58" i="1"/>
  <c r="J58" i="1" s="1"/>
  <c r="M103" i="1"/>
  <c r="M107" i="1" s="1"/>
  <c r="D151" i="1"/>
  <c r="D152" i="1" s="1"/>
  <c r="F200" i="1"/>
  <c r="F192" i="1"/>
  <c r="J192" i="1" s="1"/>
  <c r="T193" i="1"/>
  <c r="T194" i="1"/>
  <c r="J194" i="1" s="1"/>
  <c r="Q198" i="1"/>
  <c r="C199" i="1" s="1"/>
  <c r="E245" i="1"/>
  <c r="E246" i="1" s="1"/>
  <c r="F234" i="1"/>
  <c r="G292" i="1"/>
  <c r="F100" i="1"/>
  <c r="K100" i="1"/>
  <c r="F145" i="1"/>
  <c r="F151" i="1" s="1"/>
  <c r="F148" i="1"/>
  <c r="T148" i="1"/>
  <c r="T151" i="1" s="1"/>
  <c r="G198" i="1"/>
  <c r="U193" i="1"/>
  <c r="U198" i="1" s="1"/>
  <c r="F235" i="1"/>
  <c r="T235" i="1"/>
  <c r="T245" i="1" s="1"/>
  <c r="M239" i="1"/>
  <c r="F239" i="1"/>
  <c r="N239" i="1" s="1"/>
  <c r="H247" i="1"/>
  <c r="G246" i="1"/>
  <c r="I246" i="1"/>
  <c r="D246" i="1"/>
  <c r="F248" i="1"/>
  <c r="H383" i="1"/>
  <c r="G382" i="1"/>
  <c r="E582" i="1"/>
  <c r="F374" i="1"/>
  <c r="F381" i="1" s="1"/>
  <c r="M374" i="1"/>
  <c r="T374" i="1"/>
  <c r="T381" i="1" s="1"/>
  <c r="F573" i="1"/>
  <c r="F581" i="1" s="1"/>
  <c r="T573" i="1"/>
  <c r="T581" i="1" s="1"/>
  <c r="H583" i="1"/>
  <c r="F612" i="1"/>
  <c r="F620" i="1" s="1"/>
  <c r="F621" i="1" s="1"/>
  <c r="H622" i="1"/>
  <c r="G644" i="1"/>
  <c r="T644" i="1"/>
  <c r="T655" i="1" s="1"/>
  <c r="C655" i="1"/>
  <c r="C656" i="1" s="1"/>
  <c r="G655" i="1"/>
  <c r="M612" i="1"/>
  <c r="F644" i="1"/>
  <c r="F655" i="1" s="1"/>
  <c r="F656" i="1" s="1"/>
  <c r="U644" i="1"/>
  <c r="Z60" i="1" l="1"/>
  <c r="J60" i="1"/>
  <c r="J68" i="1" s="1"/>
  <c r="J69" i="1" s="1"/>
  <c r="F382" i="1"/>
  <c r="F152" i="1"/>
  <c r="D199" i="1"/>
  <c r="F582" i="1"/>
  <c r="F21" i="1"/>
  <c r="F22" i="1" s="1"/>
  <c r="F425" i="1"/>
  <c r="J195" i="1"/>
  <c r="F245" i="1"/>
  <c r="F246" i="1" s="1"/>
  <c r="Z58" i="1"/>
  <c r="F106" i="1"/>
  <c r="F107" i="1" s="1"/>
  <c r="Z62" i="1"/>
  <c r="D69" i="1"/>
  <c r="G68" i="1"/>
  <c r="Z59" i="1"/>
  <c r="M68" i="1"/>
  <c r="F68" i="1"/>
  <c r="F69" i="1" s="1"/>
  <c r="Z57" i="1"/>
  <c r="Z64" i="1"/>
  <c r="H657" i="1"/>
  <c r="G656" i="1"/>
  <c r="G199" i="1"/>
  <c r="Z63" i="1"/>
  <c r="I69" i="1"/>
  <c r="C69" i="1"/>
  <c r="F72" i="1"/>
  <c r="G21" i="1"/>
  <c r="G22" i="1" s="1"/>
  <c r="D22" i="1"/>
  <c r="J29" i="23"/>
  <c r="I29" i="23"/>
  <c r="F29" i="23"/>
  <c r="E29" i="23"/>
  <c r="D29" i="23"/>
  <c r="G29" i="23" s="1"/>
  <c r="J28" i="23"/>
  <c r="F28" i="23"/>
  <c r="E28" i="23"/>
  <c r="H28" i="23" s="1"/>
  <c r="D28" i="23"/>
  <c r="G28" i="23" s="1"/>
  <c r="J25" i="23"/>
  <c r="F25" i="23"/>
  <c r="E25" i="23"/>
  <c r="H25" i="23" s="1"/>
  <c r="D25" i="23"/>
  <c r="J24" i="23"/>
  <c r="I24" i="23"/>
  <c r="F24" i="23"/>
  <c r="E24" i="23"/>
  <c r="D24" i="23"/>
  <c r="J23" i="23"/>
  <c r="I23" i="23"/>
  <c r="F23" i="23"/>
  <c r="E23" i="23"/>
  <c r="D23" i="23"/>
  <c r="J22" i="23"/>
  <c r="F22" i="23"/>
  <c r="E22" i="23"/>
  <c r="D22" i="23"/>
  <c r="J21" i="23"/>
  <c r="I21" i="23"/>
  <c r="F21" i="23"/>
  <c r="E21" i="23"/>
  <c r="D21" i="23"/>
  <c r="J20" i="23"/>
  <c r="I20" i="23"/>
  <c r="F20" i="23"/>
  <c r="E20" i="23"/>
  <c r="D20" i="23"/>
  <c r="F18" i="23"/>
  <c r="E18" i="23"/>
  <c r="H18" i="23" s="1"/>
  <c r="D18" i="23"/>
  <c r="J16" i="23"/>
  <c r="F16" i="23"/>
  <c r="E16" i="23"/>
  <c r="D16" i="23"/>
  <c r="J15" i="23"/>
  <c r="I15" i="23"/>
  <c r="F15" i="23"/>
  <c r="E15" i="23"/>
  <c r="D15" i="23"/>
  <c r="J14" i="23"/>
  <c r="I14" i="23"/>
  <c r="F14" i="23"/>
  <c r="E14" i="23"/>
  <c r="J13" i="23"/>
  <c r="I13" i="23"/>
  <c r="F13" i="23"/>
  <c r="E13" i="23"/>
  <c r="D13" i="23"/>
  <c r="J12" i="23"/>
  <c r="I12" i="23"/>
  <c r="F12" i="23"/>
  <c r="E12" i="23"/>
  <c r="D12" i="23"/>
  <c r="J11" i="23"/>
  <c r="I11" i="23"/>
  <c r="F11" i="23"/>
  <c r="E11" i="23"/>
  <c r="D11" i="23"/>
  <c r="J10" i="23"/>
  <c r="I10" i="23"/>
  <c r="F10" i="23"/>
  <c r="E10" i="23"/>
  <c r="D10" i="23"/>
  <c r="G14" i="23" l="1"/>
  <c r="G15" i="23"/>
  <c r="G20" i="23"/>
  <c r="G21" i="23"/>
  <c r="G24" i="23"/>
  <c r="G25" i="23"/>
  <c r="H11" i="23"/>
  <c r="E31" i="23"/>
  <c r="G11" i="23"/>
  <c r="G13" i="23"/>
  <c r="H15" i="23"/>
  <c r="H21" i="23"/>
  <c r="G23" i="23"/>
  <c r="H29" i="23"/>
  <c r="H10" i="23"/>
  <c r="H13" i="23"/>
  <c r="H14" i="23"/>
  <c r="H20" i="23"/>
  <c r="H23" i="23"/>
  <c r="H24" i="23"/>
  <c r="Z68" i="1"/>
  <c r="G69" i="1"/>
  <c r="D31" i="23"/>
  <c r="F31" i="23"/>
  <c r="J31" i="23"/>
  <c r="G12" i="23"/>
  <c r="H12" i="23"/>
  <c r="G16" i="23"/>
  <c r="H16" i="23"/>
  <c r="G22" i="23"/>
  <c r="H22" i="23"/>
  <c r="N68" i="1"/>
  <c r="G10" i="23"/>
  <c r="H31" i="23" l="1"/>
  <c r="I31" i="23" s="1"/>
  <c r="G31" i="23"/>
  <c r="J184" i="3" l="1"/>
  <c r="I184" i="3"/>
  <c r="F184" i="3"/>
  <c r="E184" i="3"/>
  <c r="D184" i="3"/>
  <c r="G184" i="3" s="1"/>
  <c r="G144" i="3"/>
  <c r="E144" i="3"/>
  <c r="F144" i="3"/>
  <c r="G17" i="3" l="1"/>
  <c r="F211" i="3" l="1"/>
  <c r="F217" i="3"/>
  <c r="E217" i="3"/>
  <c r="D217" i="3"/>
  <c r="J368" i="3"/>
  <c r="D12" i="3" l="1"/>
  <c r="J176" i="3"/>
  <c r="I176" i="3"/>
  <c r="H176" i="3"/>
  <c r="F176" i="3"/>
  <c r="E176" i="3"/>
  <c r="D176" i="3"/>
  <c r="J66" i="3" l="1"/>
  <c r="F66" i="3"/>
  <c r="E66" i="3"/>
  <c r="D66" i="3"/>
  <c r="G176" i="3" l="1"/>
  <c r="E407" i="3" l="1"/>
  <c r="F209" i="3"/>
  <c r="D105" i="3" l="1"/>
  <c r="J104" i="3"/>
  <c r="I104" i="3"/>
  <c r="F104" i="3"/>
  <c r="E104" i="3"/>
  <c r="D104" i="3"/>
  <c r="J410" i="3"/>
  <c r="I410" i="3"/>
  <c r="F410" i="3"/>
  <c r="E410" i="3"/>
  <c r="D410" i="3"/>
  <c r="G410" i="3" s="1"/>
  <c r="J371" i="3"/>
  <c r="I371" i="3"/>
  <c r="F371" i="3"/>
  <c r="E371" i="3"/>
  <c r="D371" i="3"/>
  <c r="J144" i="3"/>
  <c r="I144" i="3"/>
  <c r="D144" i="3"/>
  <c r="J143" i="3"/>
  <c r="I143" i="3"/>
  <c r="F143" i="3"/>
  <c r="E143" i="3"/>
  <c r="D143" i="3"/>
  <c r="I182" i="3"/>
  <c r="J182" i="3"/>
  <c r="F182" i="3"/>
  <c r="G182" i="3" s="1"/>
  <c r="D300" i="3"/>
  <c r="G300" i="3" s="1"/>
  <c r="E298" i="3"/>
  <c r="G298" i="3"/>
  <c r="J421" i="3"/>
  <c r="I421" i="3"/>
  <c r="F421" i="3"/>
  <c r="E421" i="3"/>
  <c r="D421" i="3"/>
  <c r="J420" i="3"/>
  <c r="I420" i="3"/>
  <c r="F420" i="3"/>
  <c r="E420" i="3"/>
  <c r="D420" i="3"/>
  <c r="J382" i="3"/>
  <c r="I382" i="3"/>
  <c r="F382" i="3"/>
  <c r="E382" i="3"/>
  <c r="D382" i="3"/>
  <c r="J381" i="3"/>
  <c r="I381" i="3"/>
  <c r="F381" i="3"/>
  <c r="E381" i="3"/>
  <c r="D381" i="3"/>
  <c r="J340" i="3"/>
  <c r="I340" i="3"/>
  <c r="F340" i="3"/>
  <c r="E340" i="3"/>
  <c r="D340" i="3"/>
  <c r="J339" i="3"/>
  <c r="I339" i="3"/>
  <c r="F339" i="3"/>
  <c r="E339" i="3"/>
  <c r="D339" i="3"/>
  <c r="J300" i="3"/>
  <c r="I300" i="3"/>
  <c r="F300" i="3"/>
  <c r="E300" i="3"/>
  <c r="J299" i="3"/>
  <c r="I299" i="3"/>
  <c r="F299" i="3"/>
  <c r="E299" i="3"/>
  <c r="D299" i="3"/>
  <c r="J261" i="3"/>
  <c r="I261" i="3"/>
  <c r="F261" i="3"/>
  <c r="E261" i="3"/>
  <c r="D261" i="3"/>
  <c r="J260" i="3"/>
  <c r="I260" i="3"/>
  <c r="F260" i="3"/>
  <c r="E260" i="3"/>
  <c r="D260" i="3"/>
  <c r="J222" i="3"/>
  <c r="I222" i="3"/>
  <c r="F222" i="3"/>
  <c r="E222" i="3"/>
  <c r="D222" i="3"/>
  <c r="J221" i="3"/>
  <c r="I221" i="3"/>
  <c r="F221" i="3"/>
  <c r="E221" i="3"/>
  <c r="D221" i="3"/>
  <c r="J183" i="3"/>
  <c r="I183" i="3"/>
  <c r="F183" i="3"/>
  <c r="E183" i="3"/>
  <c r="D183" i="3"/>
  <c r="E182" i="3"/>
  <c r="D182" i="3"/>
  <c r="I66" i="3"/>
  <c r="J26" i="3"/>
  <c r="I26" i="3"/>
  <c r="F26" i="3"/>
  <c r="E26" i="3"/>
  <c r="D26" i="3"/>
  <c r="J25" i="3"/>
  <c r="I25" i="3"/>
  <c r="F25" i="3"/>
  <c r="E25" i="3"/>
  <c r="D25" i="3"/>
  <c r="J181" i="3"/>
  <c r="I181" i="3"/>
  <c r="F181" i="3"/>
  <c r="E181" i="3"/>
  <c r="D181" i="3"/>
  <c r="J103" i="3"/>
  <c r="I103" i="3"/>
  <c r="F103" i="3"/>
  <c r="E103" i="3"/>
  <c r="D103" i="3"/>
  <c r="J24" i="3"/>
  <c r="I24" i="3"/>
  <c r="F24" i="3"/>
  <c r="E24" i="3"/>
  <c r="D24" i="3"/>
  <c r="J64" i="3"/>
  <c r="I64" i="3"/>
  <c r="F64" i="3"/>
  <c r="E64" i="3"/>
  <c r="D64" i="3"/>
  <c r="J142" i="3"/>
  <c r="I142" i="3"/>
  <c r="F142" i="3"/>
  <c r="E142" i="3"/>
  <c r="D142" i="3"/>
  <c r="J220" i="3"/>
  <c r="I220" i="3"/>
  <c r="F220" i="3"/>
  <c r="E220" i="3"/>
  <c r="D220" i="3"/>
  <c r="J259" i="3"/>
  <c r="I259" i="3"/>
  <c r="F259" i="3"/>
  <c r="E259" i="3"/>
  <c r="D259" i="3"/>
  <c r="J298" i="3"/>
  <c r="I298" i="3"/>
  <c r="F298" i="3"/>
  <c r="J338" i="3"/>
  <c r="I338" i="3"/>
  <c r="F338" i="3"/>
  <c r="E338" i="3"/>
  <c r="D338" i="3"/>
  <c r="J380" i="3"/>
  <c r="I380" i="3"/>
  <c r="F380" i="3"/>
  <c r="E380" i="3"/>
  <c r="D380" i="3"/>
  <c r="J419" i="3"/>
  <c r="I419" i="3"/>
  <c r="F419" i="3"/>
  <c r="E419" i="3"/>
  <c r="D419" i="3"/>
  <c r="H17" i="3"/>
  <c r="J379" i="3"/>
  <c r="I379" i="3"/>
  <c r="F379" i="3"/>
  <c r="E379" i="3"/>
  <c r="D379" i="3"/>
  <c r="J418" i="3"/>
  <c r="I418" i="3"/>
  <c r="F418" i="3"/>
  <c r="E418" i="3"/>
  <c r="D418" i="3"/>
  <c r="J337" i="3"/>
  <c r="I337" i="3"/>
  <c r="F337" i="3"/>
  <c r="E337" i="3"/>
  <c r="D337" i="3"/>
  <c r="J297" i="3"/>
  <c r="I297" i="3"/>
  <c r="F297" i="3"/>
  <c r="E297" i="3"/>
  <c r="D297" i="3"/>
  <c r="J258" i="3"/>
  <c r="I258" i="3"/>
  <c r="F258" i="3"/>
  <c r="E258" i="3"/>
  <c r="D258" i="3"/>
  <c r="J219" i="3"/>
  <c r="I219" i="3"/>
  <c r="F219" i="3"/>
  <c r="E219" i="3"/>
  <c r="D219" i="3"/>
  <c r="J180" i="3"/>
  <c r="I180" i="3"/>
  <c r="F180" i="3"/>
  <c r="E180" i="3"/>
  <c r="D180" i="3"/>
  <c r="J141" i="3"/>
  <c r="I141" i="3"/>
  <c r="F141" i="3"/>
  <c r="E141" i="3"/>
  <c r="D141" i="3"/>
  <c r="J102" i="3"/>
  <c r="I102" i="3"/>
  <c r="F102" i="3"/>
  <c r="E102" i="3"/>
  <c r="D102" i="3"/>
  <c r="J63" i="3"/>
  <c r="I63" i="3"/>
  <c r="F63" i="3"/>
  <c r="E63" i="3"/>
  <c r="D63" i="3"/>
  <c r="J23" i="3"/>
  <c r="I23" i="3"/>
  <c r="F23" i="3"/>
  <c r="E23" i="3"/>
  <c r="D23" i="3"/>
  <c r="J27" i="3"/>
  <c r="F27" i="3"/>
  <c r="E27" i="3"/>
  <c r="D27" i="3"/>
  <c r="G27" i="3" s="1"/>
  <c r="H181" i="3" l="1"/>
  <c r="H410" i="3"/>
  <c r="D65" i="3"/>
  <c r="H380" i="3"/>
  <c r="H144" i="3"/>
  <c r="H143" i="3"/>
  <c r="G143" i="3"/>
  <c r="G419" i="3"/>
  <c r="G380" i="3"/>
  <c r="G181" i="3"/>
  <c r="H419" i="3"/>
  <c r="H418" i="3"/>
  <c r="G418" i="3"/>
  <c r="G379" i="3"/>
  <c r="H379" i="3"/>
  <c r="F67" i="3" l="1"/>
  <c r="G67" i="3"/>
  <c r="J67" i="3"/>
  <c r="I67" i="3"/>
  <c r="J174" i="3" l="1"/>
  <c r="I174" i="3"/>
  <c r="F174" i="3"/>
  <c r="E174" i="3"/>
  <c r="D174" i="3"/>
  <c r="J135" i="3"/>
  <c r="F135" i="3"/>
  <c r="G135" i="3" s="1"/>
  <c r="E135" i="3"/>
  <c r="D135" i="3"/>
  <c r="J20" i="3"/>
  <c r="I20" i="3"/>
  <c r="H20" i="3"/>
  <c r="F20" i="3"/>
  <c r="E20" i="3"/>
  <c r="D20" i="3"/>
  <c r="J99" i="3"/>
  <c r="I99" i="3"/>
  <c r="F99" i="3"/>
  <c r="E99" i="3"/>
  <c r="D99" i="3"/>
  <c r="J138" i="3"/>
  <c r="I138" i="3"/>
  <c r="F138" i="3"/>
  <c r="E138" i="3"/>
  <c r="D138" i="3"/>
  <c r="H177" i="3"/>
  <c r="I177" i="3"/>
  <c r="J177" i="3"/>
  <c r="F177" i="3"/>
  <c r="G20" i="3"/>
  <c r="J179" i="3"/>
  <c r="I179" i="3"/>
  <c r="F179" i="3"/>
  <c r="E179" i="3"/>
  <c r="D179" i="3"/>
  <c r="J140" i="3"/>
  <c r="I140" i="3"/>
  <c r="F140" i="3"/>
  <c r="E140" i="3"/>
  <c r="D140" i="3"/>
  <c r="J101" i="3"/>
  <c r="I101" i="3"/>
  <c r="F101" i="3"/>
  <c r="E101" i="3"/>
  <c r="D101" i="3"/>
  <c r="J15" i="3"/>
  <c r="I15" i="3"/>
  <c r="F15" i="3"/>
  <c r="E15" i="3"/>
  <c r="D15" i="3"/>
  <c r="F14" i="3"/>
  <c r="J178" i="3"/>
  <c r="I178" i="3"/>
  <c r="F178" i="3"/>
  <c r="E178" i="3"/>
  <c r="D178" i="3"/>
  <c r="J100" i="3"/>
  <c r="I100" i="3"/>
  <c r="E100" i="3"/>
  <c r="G100" i="3" s="1"/>
  <c r="F61" i="3"/>
  <c r="I171" i="3"/>
  <c r="J171" i="3"/>
  <c r="F171" i="3"/>
  <c r="E171" i="3"/>
  <c r="D171" i="3"/>
  <c r="I132" i="3"/>
  <c r="J132" i="3"/>
  <c r="F132" i="3"/>
  <c r="E132" i="3"/>
  <c r="D132" i="3"/>
  <c r="J93" i="3"/>
  <c r="I93" i="3"/>
  <c r="F93" i="3"/>
  <c r="E93" i="3"/>
  <c r="D93" i="3"/>
  <c r="J95" i="3"/>
  <c r="I95" i="3"/>
  <c r="F95" i="3"/>
  <c r="E95" i="3"/>
  <c r="D95" i="3"/>
  <c r="J134" i="3"/>
  <c r="F134" i="3"/>
  <c r="E134" i="3"/>
  <c r="D134" i="3"/>
  <c r="J173" i="3"/>
  <c r="I173" i="3"/>
  <c r="F173" i="3"/>
  <c r="E173" i="3"/>
  <c r="D173" i="3"/>
  <c r="J175" i="3"/>
  <c r="I175" i="3"/>
  <c r="F175" i="3"/>
  <c r="E175" i="3"/>
  <c r="D175" i="3"/>
  <c r="J136" i="3"/>
  <c r="I136" i="3"/>
  <c r="F136" i="3"/>
  <c r="E136" i="3"/>
  <c r="D136" i="3"/>
  <c r="J170" i="3"/>
  <c r="I170" i="3"/>
  <c r="F170" i="3"/>
  <c r="E170" i="3"/>
  <c r="D170" i="3"/>
  <c r="J131" i="3"/>
  <c r="I131" i="3"/>
  <c r="F131" i="3"/>
  <c r="E131" i="3"/>
  <c r="D131" i="3"/>
  <c r="J92" i="3"/>
  <c r="I92" i="3"/>
  <c r="F92" i="3"/>
  <c r="E92" i="3"/>
  <c r="D92" i="3"/>
  <c r="J97" i="3"/>
  <c r="I97" i="3"/>
  <c r="F97" i="3"/>
  <c r="E97" i="3"/>
  <c r="D97" i="3"/>
  <c r="F58" i="3"/>
  <c r="J208" i="3"/>
  <c r="I208" i="3"/>
  <c r="F208" i="3"/>
  <c r="E208" i="3"/>
  <c r="D208" i="3"/>
  <c r="I169" i="3"/>
  <c r="J169" i="3"/>
  <c r="F169" i="3"/>
  <c r="E169" i="3"/>
  <c r="D169" i="3"/>
  <c r="J130" i="3"/>
  <c r="I130" i="3"/>
  <c r="F130" i="3"/>
  <c r="E130" i="3"/>
  <c r="D130" i="3"/>
  <c r="I91" i="3"/>
  <c r="J91" i="3"/>
  <c r="F91" i="3"/>
  <c r="E91" i="3"/>
  <c r="D91" i="3"/>
  <c r="H179" i="3" l="1"/>
  <c r="G134" i="3"/>
  <c r="H95" i="3"/>
  <c r="H100" i="3"/>
  <c r="H371" i="3"/>
  <c r="H101" i="3"/>
  <c r="H178" i="3"/>
  <c r="H91" i="3"/>
  <c r="G97" i="3"/>
  <c r="H97" i="3"/>
  <c r="H92" i="3"/>
  <c r="G92" i="3"/>
  <c r="G138" i="3"/>
  <c r="G99" i="3"/>
  <c r="G174" i="3"/>
  <c r="G178" i="3"/>
  <c r="G95" i="3"/>
  <c r="H93" i="3"/>
  <c r="G101" i="3"/>
  <c r="H99" i="3"/>
  <c r="H169" i="3"/>
  <c r="G91" i="3"/>
  <c r="H254" i="3" l="1"/>
  <c r="H59" i="3"/>
  <c r="H19" i="3"/>
  <c r="J293" i="3"/>
  <c r="I293" i="3"/>
  <c r="H293" i="3"/>
  <c r="G293" i="3"/>
  <c r="F293" i="3"/>
  <c r="E293" i="3"/>
  <c r="D293" i="3"/>
  <c r="J254" i="3"/>
  <c r="I254" i="3"/>
  <c r="G254" i="3"/>
  <c r="F254" i="3"/>
  <c r="E254" i="3"/>
  <c r="D254" i="3"/>
  <c r="J215" i="3"/>
  <c r="I215" i="3"/>
  <c r="H215" i="3"/>
  <c r="G215" i="3"/>
  <c r="F215" i="3"/>
  <c r="E215" i="3"/>
  <c r="D215" i="3"/>
  <c r="J137" i="3"/>
  <c r="I137" i="3"/>
  <c r="H137" i="3"/>
  <c r="E137" i="3"/>
  <c r="D137" i="3"/>
  <c r="J98" i="3"/>
  <c r="G98" i="3"/>
  <c r="F98" i="3"/>
  <c r="E98" i="3"/>
  <c r="D98" i="3"/>
  <c r="J19" i="3"/>
  <c r="I19" i="3"/>
  <c r="G19" i="3"/>
  <c r="F19" i="3"/>
  <c r="E19" i="3"/>
  <c r="D19" i="3"/>
  <c r="J59" i="3"/>
  <c r="I59" i="3"/>
  <c r="G59" i="3"/>
  <c r="F59" i="3"/>
  <c r="E59" i="3"/>
  <c r="D59" i="3"/>
  <c r="H98" i="3" l="1"/>
  <c r="I135" i="3" l="1"/>
  <c r="J213" i="3"/>
  <c r="I213" i="3"/>
  <c r="F213" i="3"/>
  <c r="E213" i="3"/>
  <c r="D213" i="3"/>
  <c r="J252" i="3"/>
  <c r="I252" i="3"/>
  <c r="E252" i="3"/>
  <c r="D252" i="3"/>
  <c r="J329" i="3"/>
  <c r="I329" i="3"/>
  <c r="F329" i="3"/>
  <c r="E329" i="3"/>
  <c r="D329" i="3"/>
  <c r="J412" i="3"/>
  <c r="I412" i="3"/>
  <c r="F412" i="3"/>
  <c r="E412" i="3"/>
  <c r="D412" i="3"/>
  <c r="J417" i="3"/>
  <c r="I417" i="3"/>
  <c r="F417" i="3"/>
  <c r="D417" i="3"/>
  <c r="E417" i="3"/>
  <c r="J416" i="3"/>
  <c r="I416" i="3"/>
  <c r="F416" i="3"/>
  <c r="E416" i="3"/>
  <c r="D416" i="3"/>
  <c r="J415" i="3"/>
  <c r="I415" i="3"/>
  <c r="F415" i="3"/>
  <c r="E415" i="3"/>
  <c r="D415" i="3"/>
  <c r="J413" i="3"/>
  <c r="I413" i="3"/>
  <c r="F413" i="3"/>
  <c r="E413" i="3"/>
  <c r="D413" i="3"/>
  <c r="J411" i="3"/>
  <c r="I411" i="3"/>
  <c r="F411" i="3"/>
  <c r="E411" i="3"/>
  <c r="D411" i="3"/>
  <c r="J409" i="3"/>
  <c r="I409" i="3"/>
  <c r="F409" i="3"/>
  <c r="E409" i="3"/>
  <c r="D409" i="3"/>
  <c r="J408" i="3"/>
  <c r="I408" i="3"/>
  <c r="F408" i="3"/>
  <c r="E408" i="3"/>
  <c r="D408" i="3"/>
  <c r="J407" i="3"/>
  <c r="I407" i="3"/>
  <c r="F407" i="3"/>
  <c r="D407" i="3"/>
  <c r="J378" i="3"/>
  <c r="I378" i="3"/>
  <c r="F377" i="3"/>
  <c r="I377" i="3"/>
  <c r="F378" i="3"/>
  <c r="E378" i="3"/>
  <c r="D378" i="3"/>
  <c r="J377" i="3"/>
  <c r="E377" i="3"/>
  <c r="D377" i="3"/>
  <c r="J374" i="3"/>
  <c r="I374" i="3"/>
  <c r="F374" i="3"/>
  <c r="E374" i="3"/>
  <c r="D374" i="3"/>
  <c r="J372" i="3"/>
  <c r="I372" i="3"/>
  <c r="F372" i="3"/>
  <c r="E372" i="3"/>
  <c r="D372" i="3"/>
  <c r="J370" i="3"/>
  <c r="I370" i="3"/>
  <c r="F370" i="3"/>
  <c r="E370" i="3"/>
  <c r="D370" i="3"/>
  <c r="J369" i="3"/>
  <c r="I369" i="3"/>
  <c r="F369" i="3"/>
  <c r="E369" i="3"/>
  <c r="D369" i="3"/>
  <c r="F368" i="3"/>
  <c r="E368" i="3"/>
  <c r="D368" i="3"/>
  <c r="J336" i="3"/>
  <c r="I336" i="3"/>
  <c r="F336" i="3"/>
  <c r="E336" i="3"/>
  <c r="D336" i="3"/>
  <c r="J335" i="3"/>
  <c r="I335" i="3"/>
  <c r="F335" i="3"/>
  <c r="E335" i="3"/>
  <c r="D335" i="3"/>
  <c r="J334" i="3"/>
  <c r="I334" i="3"/>
  <c r="F334" i="3"/>
  <c r="E334" i="3"/>
  <c r="D334" i="3"/>
  <c r="J332" i="3"/>
  <c r="I332" i="3"/>
  <c r="F332" i="3"/>
  <c r="G332" i="3" s="1"/>
  <c r="E332" i="3"/>
  <c r="D332" i="3"/>
  <c r="J330" i="3"/>
  <c r="I330" i="3"/>
  <c r="F330" i="3"/>
  <c r="E330" i="3"/>
  <c r="D330" i="3"/>
  <c r="J328" i="3"/>
  <c r="I328" i="3"/>
  <c r="F328" i="3"/>
  <c r="E328" i="3"/>
  <c r="D328" i="3"/>
  <c r="J327" i="3"/>
  <c r="I327" i="3"/>
  <c r="F327" i="3"/>
  <c r="E327" i="3"/>
  <c r="D327" i="3"/>
  <c r="J326" i="3"/>
  <c r="F326" i="3"/>
  <c r="E326" i="3"/>
  <c r="D326" i="3"/>
  <c r="J296" i="3"/>
  <c r="I296" i="3"/>
  <c r="F296" i="3"/>
  <c r="E296" i="3"/>
  <c r="D296" i="3"/>
  <c r="J295" i="3"/>
  <c r="I295" i="3"/>
  <c r="F295" i="3"/>
  <c r="E295" i="3"/>
  <c r="D295" i="3"/>
  <c r="J294" i="3"/>
  <c r="I294" i="3"/>
  <c r="E294" i="3"/>
  <c r="D294" i="3"/>
  <c r="J292" i="3"/>
  <c r="I292" i="3"/>
  <c r="F292" i="3"/>
  <c r="E292" i="3"/>
  <c r="D292" i="3"/>
  <c r="J290" i="3"/>
  <c r="I290" i="3"/>
  <c r="F290" i="3"/>
  <c r="E290" i="3"/>
  <c r="D290" i="3"/>
  <c r="J288" i="3"/>
  <c r="I288" i="3"/>
  <c r="F288" i="3"/>
  <c r="E288" i="3"/>
  <c r="D288" i="3"/>
  <c r="J287" i="3"/>
  <c r="I287" i="3"/>
  <c r="F287" i="3"/>
  <c r="E287" i="3"/>
  <c r="D287" i="3"/>
  <c r="J286" i="3"/>
  <c r="I286" i="3"/>
  <c r="F286" i="3"/>
  <c r="E286" i="3"/>
  <c r="D286" i="3"/>
  <c r="J257" i="3" l="1"/>
  <c r="I257" i="3"/>
  <c r="F257" i="3"/>
  <c r="E257" i="3"/>
  <c r="D257" i="3"/>
  <c r="J256" i="3"/>
  <c r="I256" i="3"/>
  <c r="F256" i="3"/>
  <c r="E256" i="3"/>
  <c r="D256" i="3"/>
  <c r="J255" i="3"/>
  <c r="I255" i="3"/>
  <c r="F255" i="3"/>
  <c r="E255" i="3"/>
  <c r="D255" i="3"/>
  <c r="J253" i="3"/>
  <c r="I253" i="3"/>
  <c r="F253" i="3"/>
  <c r="E253" i="3"/>
  <c r="D253" i="3"/>
  <c r="J251" i="3"/>
  <c r="I251" i="3"/>
  <c r="F251" i="3"/>
  <c r="E251" i="3"/>
  <c r="D251" i="3"/>
  <c r="J249" i="3"/>
  <c r="I249" i="3"/>
  <c r="F249" i="3"/>
  <c r="E249" i="3"/>
  <c r="D249" i="3"/>
  <c r="J248" i="3"/>
  <c r="I248" i="3"/>
  <c r="F248" i="3"/>
  <c r="E248" i="3"/>
  <c r="D248" i="3"/>
  <c r="J247" i="3"/>
  <c r="I247" i="3"/>
  <c r="F247" i="3"/>
  <c r="E247" i="3"/>
  <c r="D247" i="3"/>
  <c r="J216" i="3"/>
  <c r="I216" i="3"/>
  <c r="F216" i="3"/>
  <c r="E216" i="3"/>
  <c r="D216" i="3"/>
  <c r="J218" i="3"/>
  <c r="I218" i="3"/>
  <c r="F218" i="3"/>
  <c r="E218" i="3"/>
  <c r="D218" i="3"/>
  <c r="J217" i="3"/>
  <c r="I217" i="3"/>
  <c r="J214" i="3"/>
  <c r="I214" i="3"/>
  <c r="F214" i="3"/>
  <c r="E214" i="3"/>
  <c r="D214" i="3"/>
  <c r="J212" i="3"/>
  <c r="I212" i="3"/>
  <c r="F212" i="3"/>
  <c r="E212" i="3"/>
  <c r="D212" i="3"/>
  <c r="J210" i="3"/>
  <c r="I210" i="3"/>
  <c r="F210" i="3"/>
  <c r="E210" i="3"/>
  <c r="D210" i="3"/>
  <c r="J209" i="3"/>
  <c r="I209" i="3"/>
  <c r="E209" i="3"/>
  <c r="D209" i="3"/>
  <c r="F139" i="3"/>
  <c r="D139" i="3"/>
  <c r="I134" i="3"/>
  <c r="G249" i="3" l="1"/>
  <c r="G251" i="3"/>
  <c r="J62" i="3"/>
  <c r="I62" i="3"/>
  <c r="F62" i="3"/>
  <c r="E62" i="3"/>
  <c r="D62" i="3"/>
  <c r="J61" i="3"/>
  <c r="I61" i="3"/>
  <c r="E61" i="3"/>
  <c r="D61" i="3"/>
  <c r="J58" i="3"/>
  <c r="I58" i="3"/>
  <c r="E58" i="3"/>
  <c r="D58" i="3"/>
  <c r="J56" i="3"/>
  <c r="I56" i="3"/>
  <c r="I54" i="3"/>
  <c r="F56" i="3"/>
  <c r="E56" i="3"/>
  <c r="D56" i="3"/>
  <c r="J54" i="3"/>
  <c r="F54" i="3"/>
  <c r="E54" i="3"/>
  <c r="D54" i="3"/>
  <c r="J53" i="3"/>
  <c r="I53" i="3"/>
  <c r="F53" i="3"/>
  <c r="E53" i="3"/>
  <c r="D53" i="3"/>
  <c r="J52" i="3"/>
  <c r="F52" i="3"/>
  <c r="E52" i="3"/>
  <c r="I52" i="3"/>
  <c r="D52" i="3"/>
  <c r="J22" i="3"/>
  <c r="F22" i="3"/>
  <c r="E22" i="3"/>
  <c r="D22" i="3"/>
  <c r="J21" i="3"/>
  <c r="I21" i="3"/>
  <c r="F21" i="3"/>
  <c r="E21" i="3"/>
  <c r="G61" i="3" l="1"/>
  <c r="D21" i="3"/>
  <c r="G21" i="3" s="1"/>
  <c r="J18" i="3"/>
  <c r="I18" i="3"/>
  <c r="F18" i="3"/>
  <c r="E18" i="3"/>
  <c r="D18" i="3"/>
  <c r="J16" i="3"/>
  <c r="I16" i="3"/>
  <c r="F16" i="3"/>
  <c r="E16" i="3"/>
  <c r="D16" i="3"/>
  <c r="J14" i="3"/>
  <c r="I14" i="3"/>
  <c r="E14" i="3"/>
  <c r="D14" i="3"/>
  <c r="J13" i="3"/>
  <c r="I13" i="3"/>
  <c r="F13" i="3"/>
  <c r="E13" i="3"/>
  <c r="D13" i="3"/>
  <c r="J12" i="3"/>
  <c r="F12" i="3"/>
  <c r="E12" i="3"/>
  <c r="G414" i="3"/>
  <c r="H409" i="3"/>
  <c r="G409" i="3"/>
  <c r="H407" i="3"/>
  <c r="G407" i="3"/>
  <c r="G376" i="3"/>
  <c r="G375" i="3"/>
  <c r="H374" i="3"/>
  <c r="G374" i="3"/>
  <c r="H372" i="3"/>
  <c r="G372" i="3"/>
  <c r="H370" i="3"/>
  <c r="G370" i="3"/>
  <c r="G368" i="3"/>
  <c r="H334" i="3"/>
  <c r="G331" i="3"/>
  <c r="H330" i="3"/>
  <c r="G330" i="3"/>
  <c r="H328" i="3"/>
  <c r="G328" i="3"/>
  <c r="H327" i="3"/>
  <c r="G327" i="3"/>
  <c r="H295" i="3"/>
  <c r="G295" i="3"/>
  <c r="H294" i="3"/>
  <c r="G289" i="3"/>
  <c r="H288" i="3"/>
  <c r="G288" i="3"/>
  <c r="H287" i="3"/>
  <c r="G287" i="3"/>
  <c r="H256" i="3"/>
  <c r="G256" i="3"/>
  <c r="H251" i="3"/>
  <c r="G250" i="3"/>
  <c r="H249" i="3"/>
  <c r="H248" i="3"/>
  <c r="G248" i="3"/>
  <c r="H217" i="3"/>
  <c r="G217" i="3"/>
  <c r="H214" i="3"/>
  <c r="G214" i="3"/>
  <c r="H213" i="3"/>
  <c r="H212" i="3"/>
  <c r="G212" i="3"/>
  <c r="H210" i="3"/>
  <c r="G210" i="3"/>
  <c r="H209" i="3"/>
  <c r="G209" i="3"/>
  <c r="H208" i="3"/>
  <c r="G208" i="3"/>
  <c r="G179" i="3"/>
  <c r="G177" i="3"/>
  <c r="H175" i="3"/>
  <c r="G175" i="3"/>
  <c r="H174" i="3"/>
  <c r="H173" i="3"/>
  <c r="G173" i="3"/>
  <c r="G172" i="3"/>
  <c r="H171" i="3"/>
  <c r="G171" i="3"/>
  <c r="H170" i="3"/>
  <c r="G170" i="3"/>
  <c r="G169" i="3"/>
  <c r="H138" i="3"/>
  <c r="H136" i="3"/>
  <c r="G136" i="3"/>
  <c r="H134" i="3"/>
  <c r="H133" i="3"/>
  <c r="H132" i="3"/>
  <c r="G132" i="3"/>
  <c r="H131" i="3"/>
  <c r="G131" i="3"/>
  <c r="H130" i="3"/>
  <c r="G130" i="3"/>
  <c r="G93" i="3"/>
  <c r="H62" i="3"/>
  <c r="G62" i="3"/>
  <c r="H61" i="3"/>
  <c r="H60" i="3"/>
  <c r="G60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G22" i="3"/>
  <c r="H21" i="3"/>
  <c r="G14" i="3" l="1"/>
  <c r="G16" i="3"/>
  <c r="H16" i="3"/>
  <c r="H18" i="3"/>
  <c r="H14" i="3"/>
  <c r="G12" i="3"/>
  <c r="H13" i="3"/>
  <c r="G18" i="3"/>
  <c r="G13" i="3"/>
  <c r="I27" i="3" l="1"/>
  <c r="H27" i="3" s="1"/>
  <c r="I98" i="3"/>
  <c r="I368" i="3"/>
  <c r="H368" i="3" s="1"/>
  <c r="I12" i="3"/>
  <c r="H12" i="3" s="1"/>
  <c r="G325" i="1"/>
  <c r="I22" i="3"/>
  <c r="H22" i="3" s="1"/>
</calcChain>
</file>

<file path=xl/comments1.xml><?xml version="1.0" encoding="utf-8"?>
<comments xmlns="http://schemas.openxmlformats.org/spreadsheetml/2006/main">
  <authors>
    <author>Windows</author>
  </authors>
  <commentList>
    <comment ref="C409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ok
</t>
        </r>
      </text>
    </comment>
    <comment ref="C446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OK
</t>
        </r>
      </text>
    </comment>
    <comment ref="C484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529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566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604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OK</t>
        </r>
      </text>
    </comment>
    <comment ref="C640" authorId="0">
      <text>
        <r>
          <rPr>
            <b/>
            <sz val="9"/>
            <color indexed="81"/>
            <rFont val="Tahoma"/>
            <family val="2"/>
          </rPr>
          <t>Windows:</t>
        </r>
        <r>
          <rPr>
            <sz val="9"/>
            <color indexed="81"/>
            <rFont val="Tahoma"/>
            <family val="2"/>
          </rPr>
          <t xml:space="preserve">
OK</t>
        </r>
      </text>
    </comment>
  </commentList>
</comments>
</file>

<file path=xl/sharedStrings.xml><?xml version="1.0" encoding="utf-8"?>
<sst xmlns="http://schemas.openxmlformats.org/spreadsheetml/2006/main" count="3124" uniqueCount="167">
  <si>
    <t>KOMODITI</t>
  </si>
  <si>
    <t>: KARET</t>
  </si>
  <si>
    <t>No</t>
  </si>
  <si>
    <t>Kecamatan</t>
  </si>
  <si>
    <t>TBM</t>
  </si>
  <si>
    <t>TM</t>
  </si>
  <si>
    <t>TR</t>
  </si>
  <si>
    <t>Jumlah (Ha)</t>
  </si>
  <si>
    <t>Produksi           (Ton)</t>
  </si>
  <si>
    <t>Rata-rata Produktifitas (Kg)</t>
  </si>
  <si>
    <t>Jumlah Petani (KK)</t>
  </si>
  <si>
    <t>Ket</t>
  </si>
  <si>
    <t>-</t>
  </si>
  <si>
    <t>JUMLAH</t>
  </si>
  <si>
    <t>: KELAPA SAWIT</t>
  </si>
  <si>
    <t>: KAKAO</t>
  </si>
  <si>
    <t xml:space="preserve">: </t>
  </si>
  <si>
    <t>: PINANG</t>
  </si>
  <si>
    <t>: KELAPA DALAM</t>
  </si>
  <si>
    <t>: SAGU</t>
  </si>
  <si>
    <t>: NILAM</t>
  </si>
  <si>
    <t>: AREN</t>
  </si>
  <si>
    <t>: KOPI</t>
  </si>
  <si>
    <t>: KAPUK</t>
  </si>
  <si>
    <t>Komoditi</t>
  </si>
  <si>
    <t>Luas Areal (Ha)</t>
  </si>
  <si>
    <t>KARET</t>
  </si>
  <si>
    <t>KELAPA SAWIT</t>
  </si>
  <si>
    <t>KELAPA DALAM</t>
  </si>
  <si>
    <t>NILAM</t>
  </si>
  <si>
    <t>PINANG</t>
  </si>
  <si>
    <t>KAPUK / RANDU</t>
  </si>
  <si>
    <t>KAKAO</t>
  </si>
  <si>
    <t>KEMIRI</t>
  </si>
  <si>
    <t>KOPI</t>
  </si>
  <si>
    <t>SAGU</t>
  </si>
  <si>
    <t>AREN</t>
  </si>
  <si>
    <t xml:space="preserve">KECAMATAN </t>
  </si>
  <si>
    <t xml:space="preserve">TM    : Tanaman  Menghasilkan </t>
  </si>
  <si>
    <t xml:space="preserve">         TBM    : Tanaman Belum Menghasilkan </t>
  </si>
  <si>
    <t xml:space="preserve">           TR     : Tanaman Rusak</t>
  </si>
  <si>
    <t>Jumlah        (Ha)</t>
  </si>
  <si>
    <t>Jumlah         (Ha)</t>
  </si>
  <si>
    <t>Jumlah       (Ha)</t>
  </si>
  <si>
    <t>Jumlah    (Ha)</t>
  </si>
  <si>
    <t>Jumlah     (Ha)</t>
  </si>
  <si>
    <t>Jumlah          (Ha)</t>
  </si>
  <si>
    <t>Jumlah      (Ha)</t>
  </si>
  <si>
    <t>oke</t>
  </si>
  <si>
    <t>TEBU</t>
  </si>
  <si>
    <t>NO</t>
  </si>
  <si>
    <t xml:space="preserve">ANGKA TETAP LUAS AREAL DAN PRODUKSI </t>
  </si>
  <si>
    <t>TAHUN 2020</t>
  </si>
  <si>
    <t>KOMODITI PERKEBUNAN RAKYAT KABUPATEN ACEH SINGKIL</t>
  </si>
  <si>
    <t>: SIMPANG KANAN</t>
  </si>
  <si>
    <t>: KOTA BAHARU</t>
  </si>
  <si>
    <t>: SINGKIL UTARA</t>
  </si>
  <si>
    <t>: KUALA BARU</t>
  </si>
  <si>
    <t>: PULAU BANYAK</t>
  </si>
  <si>
    <t>: PULAU BANYAK BARAT</t>
  </si>
  <si>
    <t>: SINGKOHOR</t>
  </si>
  <si>
    <t>SIMPANG KANAN</t>
  </si>
  <si>
    <t>:SINGKIL</t>
  </si>
  <si>
    <t>: Tanaman Belum Menghasilkan</t>
  </si>
  <si>
    <t>: Tanaman Menghasilkan</t>
  </si>
  <si>
    <t>: Tanaman Rusak</t>
  </si>
  <si>
    <t>GUNUNG MERIAH</t>
  </si>
  <si>
    <t>KOTA BAHARU</t>
  </si>
  <si>
    <t>SINGKOHOR</t>
  </si>
  <si>
    <t>SINGKIL UTARA</t>
  </si>
  <si>
    <t>SINGKIL</t>
  </si>
  <si>
    <t>KUALA BARU</t>
  </si>
  <si>
    <t>PULAU BANYAK</t>
  </si>
  <si>
    <t>PULAU BANYAK BARAT</t>
  </si>
  <si>
    <t>: DANAU PARIS</t>
  </si>
  <si>
    <t>DANAU PARIS</t>
  </si>
  <si>
    <t>KEPALA DINAS PERKEBUNAN</t>
  </si>
  <si>
    <t>KABUPATEN ACEH SINGKIL</t>
  </si>
  <si>
    <t>ZULKIFLI, SP</t>
  </si>
  <si>
    <t xml:space="preserve">SURO </t>
  </si>
  <si>
    <t xml:space="preserve">: SURO </t>
  </si>
  <si>
    <t>:GUNUNG MERIAH</t>
  </si>
  <si>
    <t>SURO</t>
  </si>
  <si>
    <t>KOTA BAHARI</t>
  </si>
  <si>
    <t>SERE WANGI</t>
  </si>
  <si>
    <t>:SERE WANGI</t>
  </si>
  <si>
    <t>CENGKEH</t>
  </si>
  <si>
    <t>PALA</t>
  </si>
  <si>
    <t>LADA</t>
  </si>
  <si>
    <t>: CENGKEH</t>
  </si>
  <si>
    <t>:PALA</t>
  </si>
  <si>
    <t>:KEMIRI</t>
  </si>
  <si>
    <t>:LADA</t>
  </si>
  <si>
    <t>REKAPITULASI PERKEMBANGAN AREAL DAN PRODUKSI</t>
  </si>
  <si>
    <t>PRODUKSI</t>
  </si>
  <si>
    <t>Karet</t>
  </si>
  <si>
    <t>Pinang</t>
  </si>
  <si>
    <t>Sagu</t>
  </si>
  <si>
    <t>NIP.19641231 198303 1 018</t>
  </si>
  <si>
    <t>Koordinator</t>
  </si>
  <si>
    <t>Alwansyah, SP</t>
  </si>
  <si>
    <t>Sapril</t>
  </si>
  <si>
    <t>Manbun</t>
  </si>
  <si>
    <t>Asparlin Sugianto</t>
  </si>
  <si>
    <t>M. Nasyir Syam</t>
  </si>
  <si>
    <t>Sugianto, SP</t>
  </si>
  <si>
    <t>Sariaman</t>
  </si>
  <si>
    <t>Sholihin</t>
  </si>
  <si>
    <t>Usuluddin, A.Md</t>
  </si>
  <si>
    <t>Khairul Mihbar</t>
  </si>
  <si>
    <t>Henni Novianti</t>
  </si>
  <si>
    <t>Redi Kurniawan</t>
  </si>
  <si>
    <t xml:space="preserve">TBM  : Tanaman Belum Menghasilkan </t>
  </si>
  <si>
    <t>TR    : Tanaman Rusak</t>
  </si>
  <si>
    <t>TAHUN 2021</t>
  </si>
  <si>
    <t>LUAS AREAL (Ha)</t>
  </si>
  <si>
    <t>RATA-RATA</t>
  </si>
  <si>
    <t xml:space="preserve">WUJUD </t>
  </si>
  <si>
    <t>(HA)</t>
  </si>
  <si>
    <t>(TON)</t>
  </si>
  <si>
    <t>PRODUKTIVITAS</t>
  </si>
  <si>
    <t>PETANI</t>
  </si>
  <si>
    <t>(Kg/Ha)</t>
  </si>
  <si>
    <t>(KK)</t>
  </si>
  <si>
    <t>K3</t>
  </si>
  <si>
    <t>Kelapa Dalam</t>
  </si>
  <si>
    <t>Kopra</t>
  </si>
  <si>
    <t>Kelapa Sawit</t>
  </si>
  <si>
    <t>CPO</t>
  </si>
  <si>
    <t>Biji Kering</t>
  </si>
  <si>
    <t>Kakao</t>
  </si>
  <si>
    <t>Cengkeh</t>
  </si>
  <si>
    <t>Bunga Kering</t>
  </si>
  <si>
    <t>Lada</t>
  </si>
  <si>
    <t>Lada hitam</t>
  </si>
  <si>
    <t>Jambu Mete</t>
  </si>
  <si>
    <t>Tebu</t>
  </si>
  <si>
    <t>Gula Merah</t>
  </si>
  <si>
    <t>Tembakau</t>
  </si>
  <si>
    <t>Daun Kering</t>
  </si>
  <si>
    <t>Pala</t>
  </si>
  <si>
    <t>Kapuk/Randu</t>
  </si>
  <si>
    <t>Serat Kering</t>
  </si>
  <si>
    <t>Kemiri</t>
  </si>
  <si>
    <t>Tepung</t>
  </si>
  <si>
    <t>Aren</t>
  </si>
  <si>
    <t>Casiavera</t>
  </si>
  <si>
    <t>Kulit Kering</t>
  </si>
  <si>
    <t>Gambir</t>
  </si>
  <si>
    <t>Getah Bening</t>
  </si>
  <si>
    <t>Nilam</t>
  </si>
  <si>
    <t>Minyak</t>
  </si>
  <si>
    <t>Sere Wangi</t>
  </si>
  <si>
    <t>Jarak</t>
  </si>
  <si>
    <t>: Tanaman Belum menghasilkan</t>
  </si>
  <si>
    <t>Kopi</t>
  </si>
  <si>
    <t>Gula</t>
  </si>
  <si>
    <t>tbm</t>
  </si>
  <si>
    <t>tm</t>
  </si>
  <si>
    <t>tr</t>
  </si>
  <si>
    <t>KK</t>
  </si>
  <si>
    <t>ha</t>
  </si>
  <si>
    <t>kk</t>
  </si>
  <si>
    <t>Nona Aprilyanti, S.Si</t>
  </si>
  <si>
    <t>NIP. 19800408 201003 2 001</t>
  </si>
  <si>
    <t xml:space="preserve">LUAS AREAL DAN PRODUKSI </t>
  </si>
  <si>
    <t>ANGKA TETAP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</si>
</sst>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70" formatCode="_(* #,##0.0_);_(* \(#,##0.0\);_(* &quot;-&quot;?_);_(@_)"/>
    <numFmt numFmtId="171" formatCode="#,##0.0"/>
    <numFmt numFmtId="172" formatCode="#,##0.0_);\(#,##0.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u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indexed="5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Border="1"/>
    <xf numFmtId="166" fontId="0" fillId="0" borderId="2" xfId="0" quotePrefix="1" applyNumberFormat="1" applyBorder="1" applyAlignment="1">
      <alignment horizontal="right"/>
    </xf>
    <xf numFmtId="166" fontId="0" fillId="0" borderId="2" xfId="1" quotePrefix="1" applyNumberFormat="1" applyFont="1" applyBorder="1" applyAlignment="1">
      <alignment horizontal="right"/>
    </xf>
    <xf numFmtId="166" fontId="0" fillId="0" borderId="15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0" xfId="0" applyNumberFormat="1"/>
    <xf numFmtId="166" fontId="0" fillId="0" borderId="18" xfId="1" applyNumberFormat="1" applyFont="1" applyBorder="1" applyAlignment="1">
      <alignment wrapText="1"/>
    </xf>
    <xf numFmtId="166" fontId="0" fillId="0" borderId="2" xfId="1" applyNumberFormat="1" applyFont="1" applyBorder="1" applyAlignment="1">
      <alignment horizontal="right"/>
    </xf>
    <xf numFmtId="166" fontId="0" fillId="0" borderId="2" xfId="0" quotePrefix="1" applyNumberFormat="1" applyBorder="1" applyAlignment="1">
      <alignment horizontal="center"/>
    </xf>
    <xf numFmtId="166" fontId="0" fillId="0" borderId="7" xfId="1" quotePrefix="1" applyNumberFormat="1" applyFont="1" applyBorder="1" applyAlignment="1">
      <alignment horizontal="right" wrapText="1"/>
    </xf>
    <xf numFmtId="166" fontId="0" fillId="0" borderId="9" xfId="1" quotePrefix="1" applyNumberFormat="1" applyFont="1" applyBorder="1" applyAlignment="1">
      <alignment horizontal="right" wrapText="1"/>
    </xf>
    <xf numFmtId="166" fontId="0" fillId="0" borderId="18" xfId="1" quotePrefix="1" applyNumberFormat="1" applyFont="1" applyBorder="1" applyAlignment="1">
      <alignment horizontal="right" wrapText="1"/>
    </xf>
    <xf numFmtId="166" fontId="0" fillId="0" borderId="13" xfId="1" quotePrefix="1" applyNumberFormat="1" applyFont="1" applyBorder="1" applyAlignment="1">
      <alignment horizontal="right" wrapText="1"/>
    </xf>
    <xf numFmtId="166" fontId="0" fillId="0" borderId="0" xfId="1" quotePrefix="1" applyNumberFormat="1" applyFont="1" applyBorder="1" applyAlignment="1">
      <alignment horizontal="right" wrapText="1"/>
    </xf>
    <xf numFmtId="166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166" fontId="0" fillId="0" borderId="18" xfId="1" applyNumberFormat="1" applyFont="1" applyBorder="1" applyAlignment="1">
      <alignment horizontal="right" wrapText="1"/>
    </xf>
    <xf numFmtId="167" fontId="0" fillId="0" borderId="0" xfId="0" applyNumberFormat="1"/>
    <xf numFmtId="166" fontId="0" fillId="0" borderId="18" xfId="1" quotePrefix="1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6" fontId="0" fillId="0" borderId="37" xfId="1" applyNumberFormat="1" applyFont="1" applyBorder="1" applyAlignment="1">
      <alignment horizontal="right" wrapText="1"/>
    </xf>
    <xf numFmtId="166" fontId="0" fillId="0" borderId="37" xfId="1" quotePrefix="1" applyNumberFormat="1" applyFont="1" applyBorder="1" applyAlignment="1">
      <alignment horizontal="center" wrapText="1"/>
    </xf>
    <xf numFmtId="166" fontId="0" fillId="0" borderId="37" xfId="1" quotePrefix="1" applyNumberFormat="1" applyFont="1" applyBorder="1" applyAlignment="1">
      <alignment horizontal="right" wrapText="1"/>
    </xf>
    <xf numFmtId="166" fontId="0" fillId="0" borderId="13" xfId="1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Fill="1" applyBorder="1" applyAlignment="1">
      <alignment horizontal="right" wrapText="1"/>
    </xf>
    <xf numFmtId="166" fontId="0" fillId="0" borderId="0" xfId="1" applyNumberFormat="1" applyFont="1" applyFill="1" applyBorder="1" applyAlignment="1">
      <alignment horizontal="right" wrapText="1"/>
    </xf>
    <xf numFmtId="164" fontId="0" fillId="0" borderId="0" xfId="2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167" fontId="0" fillId="0" borderId="0" xfId="1" quotePrefix="1" applyNumberFormat="1" applyFont="1" applyBorder="1" applyAlignment="1">
      <alignment horizontal="right" wrapText="1"/>
    </xf>
    <xf numFmtId="166" fontId="0" fillId="0" borderId="39" xfId="1" applyNumberFormat="1" applyFont="1" applyFill="1" applyBorder="1" applyAlignment="1">
      <alignment horizontal="right" wrapText="1"/>
    </xf>
    <xf numFmtId="166" fontId="0" fillId="0" borderId="2" xfId="1" applyNumberFormat="1" applyFont="1" applyBorder="1" applyAlignment="1"/>
    <xf numFmtId="166" fontId="0" fillId="0" borderId="43" xfId="1" quotePrefix="1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/>
    <xf numFmtId="0" fontId="2" fillId="0" borderId="0" xfId="0" applyFont="1" applyAlignment="1"/>
    <xf numFmtId="166" fontId="2" fillId="0" borderId="0" xfId="0" applyNumberFormat="1" applyFont="1" applyAlignment="1"/>
    <xf numFmtId="166" fontId="0" fillId="0" borderId="47" xfId="1" quotePrefix="1" applyNumberFormat="1" applyFont="1" applyBorder="1" applyAlignment="1">
      <alignment horizontal="right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0" fillId="0" borderId="11" xfId="0" quotePrefix="1" applyNumberFormat="1" applyBorder="1" applyAlignment="1">
      <alignment horizontal="right" vertical="center"/>
    </xf>
    <xf numFmtId="166" fontId="0" fillId="0" borderId="11" xfId="1" quotePrefix="1" applyNumberFormat="1" applyFont="1" applyBorder="1" applyAlignment="1">
      <alignment horizontal="right" vertical="center"/>
    </xf>
    <xf numFmtId="0" fontId="0" fillId="0" borderId="49" xfId="0" applyBorder="1" applyAlignment="1">
      <alignment horizontal="center" vertical="center" wrapText="1"/>
    </xf>
    <xf numFmtId="166" fontId="0" fillId="0" borderId="2" xfId="0" quotePrefix="1" applyNumberFormat="1" applyBorder="1" applyAlignment="1">
      <alignment horizontal="center" vertical="center"/>
    </xf>
    <xf numFmtId="166" fontId="0" fillId="0" borderId="2" xfId="1" quotePrefix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3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/>
    </xf>
    <xf numFmtId="166" fontId="0" fillId="0" borderId="3" xfId="1" applyNumberFormat="1" applyFont="1" applyBorder="1" applyAlignment="1"/>
    <xf numFmtId="166" fontId="0" fillId="0" borderId="2" xfId="1" quotePrefix="1" applyNumberFormat="1" applyFont="1" applyBorder="1" applyAlignment="1"/>
    <xf numFmtId="166" fontId="0" fillId="0" borderId="15" xfId="1" applyNumberFormat="1" applyFont="1" applyBorder="1" applyAlignment="1"/>
    <xf numFmtId="166" fontId="0" fillId="0" borderId="17" xfId="1" quotePrefix="1" applyNumberFormat="1" applyFont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166" fontId="0" fillId="0" borderId="17" xfId="1" quotePrefix="1" applyNumberFormat="1" applyFont="1" applyBorder="1" applyAlignment="1">
      <alignment horizontal="center"/>
    </xf>
    <xf numFmtId="167" fontId="0" fillId="0" borderId="17" xfId="1" quotePrefix="1" applyNumberFormat="1" applyFont="1" applyBorder="1" applyAlignment="1">
      <alignment horizontal="right"/>
    </xf>
    <xf numFmtId="166" fontId="0" fillId="0" borderId="17" xfId="1" quotePrefix="1" applyNumberFormat="1" applyFont="1" applyBorder="1" applyAlignment="1">
      <alignment horizontal="right"/>
    </xf>
    <xf numFmtId="166" fontId="0" fillId="0" borderId="17" xfId="1" applyNumberFormat="1" applyFont="1" applyBorder="1" applyAlignment="1">
      <alignment horizontal="right"/>
    </xf>
    <xf numFmtId="166" fontId="0" fillId="0" borderId="7" xfId="1" quotePrefix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0" fillId="0" borderId="18" xfId="1" applyNumberFormat="1" applyFont="1" applyBorder="1" applyAlignment="1">
      <alignment horizontal="center" vertical="center"/>
    </xf>
    <xf numFmtId="166" fontId="0" fillId="0" borderId="17" xfId="1" applyNumberFormat="1" applyFont="1" applyBorder="1" applyAlignment="1">
      <alignment horizontal="center" vertical="center"/>
    </xf>
    <xf numFmtId="166" fontId="0" fillId="0" borderId="18" xfId="1" quotePrefix="1" applyNumberFormat="1" applyFont="1" applyBorder="1" applyAlignment="1">
      <alignment horizontal="center" vertical="center"/>
    </xf>
    <xf numFmtId="166" fontId="0" fillId="0" borderId="37" xfId="1" quotePrefix="1" applyNumberFormat="1" applyFont="1" applyBorder="1" applyAlignment="1">
      <alignment horizontal="center" vertical="center"/>
    </xf>
    <xf numFmtId="166" fontId="0" fillId="0" borderId="13" xfId="1" quotePrefix="1" applyNumberFormat="1" applyFont="1" applyBorder="1" applyAlignment="1">
      <alignment horizontal="center" vertical="center"/>
    </xf>
    <xf numFmtId="165" fontId="0" fillId="0" borderId="17" xfId="1" quotePrefix="1" applyNumberFormat="1" applyFont="1" applyBorder="1" applyAlignment="1">
      <alignment horizontal="right"/>
    </xf>
    <xf numFmtId="166" fontId="0" fillId="0" borderId="36" xfId="1" quotePrefix="1" applyNumberFormat="1" applyFont="1" applyBorder="1" applyAlignment="1">
      <alignment horizontal="center" vertical="center"/>
    </xf>
    <xf numFmtId="166" fontId="0" fillId="0" borderId="36" xfId="1" applyNumberFormat="1" applyFont="1" applyBorder="1" applyAlignment="1">
      <alignment horizontal="center" vertical="center"/>
    </xf>
    <xf numFmtId="166" fontId="0" fillId="0" borderId="37" xfId="1" applyNumberFormat="1" applyFont="1" applyBorder="1" applyAlignment="1">
      <alignment horizontal="center" vertical="center"/>
    </xf>
    <xf numFmtId="166" fontId="0" fillId="0" borderId="38" xfId="1" quotePrefix="1" applyNumberFormat="1" applyFont="1" applyBorder="1" applyAlignment="1">
      <alignment horizontal="center" vertical="center"/>
    </xf>
    <xf numFmtId="166" fontId="0" fillId="0" borderId="37" xfId="1" quotePrefix="1" applyNumberFormat="1" applyFont="1" applyBorder="1" applyAlignment="1">
      <alignment horizontal="right"/>
    </xf>
    <xf numFmtId="166" fontId="0" fillId="0" borderId="18" xfId="1" applyNumberFormat="1" applyFont="1" applyBorder="1" applyAlignment="1">
      <alignment horizontal="right"/>
    </xf>
    <xf numFmtId="166" fontId="0" fillId="0" borderId="18" xfId="1" quotePrefix="1" applyNumberFormat="1" applyFont="1" applyBorder="1" applyAlignment="1">
      <alignment horizontal="right"/>
    </xf>
    <xf numFmtId="166" fontId="0" fillId="0" borderId="18" xfId="1" quotePrefix="1" applyNumberFormat="1" applyFont="1" applyBorder="1" applyAlignment="1">
      <alignment horizontal="center"/>
    </xf>
    <xf numFmtId="167" fontId="0" fillId="0" borderId="18" xfId="1" quotePrefix="1" applyNumberFormat="1" applyFont="1" applyBorder="1" applyAlignment="1">
      <alignment horizontal="right"/>
    </xf>
    <xf numFmtId="167" fontId="0" fillId="0" borderId="18" xfId="1" quotePrefix="1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6" fontId="0" fillId="0" borderId="7" xfId="1" quotePrefix="1" applyNumberFormat="1" applyFont="1" applyBorder="1" applyAlignment="1">
      <alignment horizontal="right"/>
    </xf>
    <xf numFmtId="166" fontId="0" fillId="0" borderId="37" xfId="1" applyNumberFormat="1" applyFont="1" applyBorder="1" applyAlignment="1">
      <alignment horizontal="right"/>
    </xf>
    <xf numFmtId="166" fontId="0" fillId="0" borderId="47" xfId="1" quotePrefix="1" applyNumberFormat="1" applyFont="1" applyBorder="1" applyAlignment="1">
      <alignment horizontal="right"/>
    </xf>
    <xf numFmtId="167" fontId="0" fillId="0" borderId="11" xfId="1" quotePrefix="1" applyNumberFormat="1" applyFont="1" applyBorder="1" applyAlignment="1">
      <alignment horizontal="right" vertical="center"/>
    </xf>
    <xf numFmtId="166" fontId="0" fillId="0" borderId="18" xfId="1" applyNumberFormat="1" applyFont="1" applyBorder="1" applyAlignment="1">
      <alignment horizontal="center"/>
    </xf>
    <xf numFmtId="166" fontId="0" fillId="0" borderId="37" xfId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 vertical="center"/>
    </xf>
    <xf numFmtId="166" fontId="0" fillId="0" borderId="9" xfId="1" quotePrefix="1" applyNumberFormat="1" applyFont="1" applyBorder="1" applyAlignment="1">
      <alignment horizontal="center" vertical="center"/>
    </xf>
    <xf numFmtId="166" fontId="0" fillId="0" borderId="32" xfId="1" applyNumberFormat="1" applyFont="1" applyBorder="1" applyAlignment="1"/>
    <xf numFmtId="166" fontId="0" fillId="0" borderId="9" xfId="1" quotePrefix="1" applyNumberFormat="1" applyFont="1" applyBorder="1" applyAlignment="1">
      <alignment horizontal="right"/>
    </xf>
    <xf numFmtId="166" fontId="0" fillId="0" borderId="17" xfId="1" quotePrefix="1" applyNumberFormat="1" applyFont="1" applyBorder="1" applyAlignment="1"/>
    <xf numFmtId="167" fontId="0" fillId="0" borderId="2" xfId="1" quotePrefix="1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6" fontId="0" fillId="0" borderId="7" xfId="1" quotePrefix="1" applyNumberFormat="1" applyFont="1" applyBorder="1" applyAlignment="1">
      <alignment horizontal="right" vertical="center" wrapText="1"/>
    </xf>
    <xf numFmtId="166" fontId="0" fillId="0" borderId="18" xfId="1" applyNumberFormat="1" applyFont="1" applyBorder="1" applyAlignment="1">
      <alignment vertical="center" wrapText="1"/>
    </xf>
    <xf numFmtId="166" fontId="0" fillId="0" borderId="18" xfId="1" quotePrefix="1" applyNumberFormat="1" applyFont="1" applyBorder="1" applyAlignment="1">
      <alignment horizontal="right" vertical="center" wrapText="1"/>
    </xf>
    <xf numFmtId="166" fontId="0" fillId="0" borderId="9" xfId="1" quotePrefix="1" applyNumberFormat="1" applyFont="1" applyBorder="1" applyAlignment="1">
      <alignment horizontal="right" vertical="center" wrapText="1"/>
    </xf>
    <xf numFmtId="166" fontId="0" fillId="0" borderId="42" xfId="1" quotePrefix="1" applyNumberFormat="1" applyFont="1" applyBorder="1" applyAlignment="1">
      <alignment horizontal="right" vertical="center" wrapText="1"/>
    </xf>
    <xf numFmtId="166" fontId="0" fillId="0" borderId="18" xfId="1" quotePrefix="1" applyNumberFormat="1" applyFont="1" applyBorder="1" applyAlignment="1">
      <alignment horizontal="center" vertical="center" wrapText="1"/>
    </xf>
    <xf numFmtId="167" fontId="0" fillId="0" borderId="0" xfId="1" quotePrefix="1" applyNumberFormat="1" applyFont="1" applyBorder="1" applyAlignment="1">
      <alignment horizontal="right" vertical="center" wrapText="1"/>
    </xf>
    <xf numFmtId="0" fontId="0" fillId="0" borderId="0" xfId="0" applyNumberFormat="1"/>
    <xf numFmtId="166" fontId="2" fillId="0" borderId="17" xfId="1" applyNumberFormat="1" applyFont="1" applyBorder="1" applyAlignment="1">
      <alignment horizontal="right"/>
    </xf>
    <xf numFmtId="167" fontId="2" fillId="0" borderId="17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/>
    <xf numFmtId="166" fontId="0" fillId="0" borderId="17" xfId="1" quotePrefix="1" applyNumberFormat="1" applyFont="1" applyBorder="1" applyAlignment="1">
      <alignment horizontal="right" vertical="center" wrapText="1"/>
    </xf>
    <xf numFmtId="166" fontId="0" fillId="0" borderId="17" xfId="1" applyNumberFormat="1" applyFont="1" applyBorder="1" applyAlignment="1">
      <alignment horizontal="right" vertical="center"/>
    </xf>
    <xf numFmtId="166" fontId="0" fillId="0" borderId="18" xfId="1" applyNumberFormat="1" applyFont="1" applyBorder="1" applyAlignment="1">
      <alignment horizontal="right" vertical="center"/>
    </xf>
    <xf numFmtId="166" fontId="0" fillId="0" borderId="17" xfId="1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166" fontId="0" fillId="0" borderId="42" xfId="1" quotePrefix="1" applyNumberFormat="1" applyFont="1" applyBorder="1" applyAlignment="1">
      <alignment horizontal="right" wrapText="1"/>
    </xf>
    <xf numFmtId="166" fontId="0" fillId="0" borderId="43" xfId="1" quotePrefix="1" applyNumberFormat="1" applyFont="1" applyBorder="1" applyAlignment="1">
      <alignment horizontal="center" vertical="center"/>
    </xf>
    <xf numFmtId="166" fontId="0" fillId="0" borderId="43" xfId="1" quotePrefix="1" applyNumberFormat="1" applyFont="1" applyBorder="1" applyAlignment="1">
      <alignment horizontal="right"/>
    </xf>
    <xf numFmtId="0" fontId="0" fillId="0" borderId="44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166" fontId="0" fillId="0" borderId="43" xfId="1" applyNumberFormat="1" applyFont="1" applyBorder="1" applyAlignment="1">
      <alignment horizontal="center" vertical="center"/>
    </xf>
    <xf numFmtId="166" fontId="2" fillId="0" borderId="17" xfId="1" applyNumberFormat="1" applyFont="1" applyBorder="1" applyAlignment="1">
      <alignment horizontal="right" vertical="center"/>
    </xf>
    <xf numFmtId="166" fontId="2" fillId="0" borderId="18" xfId="1" applyNumberFormat="1" applyFont="1" applyBorder="1" applyAlignment="1">
      <alignment horizontal="right" vertical="center"/>
    </xf>
    <xf numFmtId="166" fontId="2" fillId="0" borderId="9" xfId="1" applyNumberFormat="1" applyFont="1" applyBorder="1" applyAlignment="1">
      <alignment horizontal="right" vertical="center"/>
    </xf>
    <xf numFmtId="166" fontId="2" fillId="0" borderId="18" xfId="1" applyNumberFormat="1" applyFont="1" applyBorder="1" applyAlignment="1">
      <alignment horizontal="center" vertical="center"/>
    </xf>
    <xf numFmtId="166" fontId="2" fillId="0" borderId="44" xfId="1" applyNumberFormat="1" applyFont="1" applyBorder="1" applyAlignment="1">
      <alignment horizontal="center" vertical="center"/>
    </xf>
    <xf numFmtId="166" fontId="0" fillId="0" borderId="43" xfId="1" quotePrefix="1" applyNumberFormat="1" applyFont="1" applyBorder="1" applyAlignment="1">
      <alignment horizontal="center" vertical="center" wrapText="1"/>
    </xf>
    <xf numFmtId="166" fontId="0" fillId="0" borderId="17" xfId="1" quotePrefix="1" applyNumberFormat="1" applyFont="1" applyBorder="1" applyAlignment="1">
      <alignment horizontal="right" vertical="center"/>
    </xf>
    <xf numFmtId="165" fontId="0" fillId="0" borderId="17" xfId="1" applyNumberFormat="1" applyFont="1" applyBorder="1" applyAlignment="1">
      <alignment horizontal="right" vertical="center"/>
    </xf>
    <xf numFmtId="0" fontId="0" fillId="0" borderId="17" xfId="0" quotePrefix="1" applyBorder="1" applyAlignment="1">
      <alignment horizontal="right" vertical="center"/>
    </xf>
    <xf numFmtId="167" fontId="0" fillId="0" borderId="17" xfId="1" applyNumberFormat="1" applyFont="1" applyBorder="1" applyAlignment="1">
      <alignment horizontal="right" vertical="center"/>
    </xf>
    <xf numFmtId="167" fontId="0" fillId="0" borderId="17" xfId="1" quotePrefix="1" applyNumberFormat="1" applyFont="1" applyBorder="1" applyAlignment="1">
      <alignment horizontal="right" vertical="center"/>
    </xf>
    <xf numFmtId="167" fontId="2" fillId="0" borderId="17" xfId="1" applyNumberFormat="1" applyFont="1" applyBorder="1" applyAlignment="1">
      <alignment horizontal="right" vertical="center"/>
    </xf>
    <xf numFmtId="165" fontId="2" fillId="0" borderId="17" xfId="1" applyNumberFormat="1" applyFont="1" applyBorder="1" applyAlignment="1">
      <alignment horizontal="right" vertical="center"/>
    </xf>
    <xf numFmtId="166" fontId="0" fillId="0" borderId="36" xfId="1" quotePrefix="1" applyNumberFormat="1" applyFont="1" applyBorder="1" applyAlignment="1">
      <alignment horizontal="right" vertical="center"/>
    </xf>
    <xf numFmtId="0" fontId="0" fillId="0" borderId="36" xfId="0" quotePrefix="1" applyBorder="1" applyAlignment="1">
      <alignment horizontal="right" vertical="center"/>
    </xf>
    <xf numFmtId="166" fontId="0" fillId="0" borderId="36" xfId="1" applyNumberFormat="1" applyFont="1" applyBorder="1" applyAlignment="1">
      <alignment horizontal="right" vertical="center"/>
    </xf>
    <xf numFmtId="167" fontId="0" fillId="0" borderId="36" xfId="1" applyNumberFormat="1" applyFont="1" applyBorder="1" applyAlignment="1">
      <alignment horizontal="right" vertical="center"/>
    </xf>
    <xf numFmtId="165" fontId="0" fillId="0" borderId="17" xfId="1" quotePrefix="1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67" fontId="0" fillId="0" borderId="36" xfId="1" quotePrefix="1" applyNumberFormat="1" applyFont="1" applyBorder="1" applyAlignment="1">
      <alignment horizontal="right" vertical="center"/>
    </xf>
    <xf numFmtId="166" fontId="0" fillId="0" borderId="44" xfId="1" quotePrefix="1" applyNumberFormat="1" applyFont="1" applyBorder="1" applyAlignment="1">
      <alignment horizontal="right" vertical="center"/>
    </xf>
    <xf numFmtId="0" fontId="0" fillId="0" borderId="55" xfId="0" applyBorder="1" applyAlignment="1">
      <alignment horizontal="left" vertical="center" wrapText="1"/>
    </xf>
    <xf numFmtId="166" fontId="2" fillId="0" borderId="5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51" xfId="1" applyNumberFormat="1" applyFont="1" applyBorder="1" applyAlignment="1">
      <alignment horizontal="right" vertical="center"/>
    </xf>
    <xf numFmtId="166" fontId="0" fillId="0" borderId="51" xfId="1" quotePrefix="1" applyNumberFormat="1" applyFont="1" applyBorder="1" applyAlignment="1">
      <alignment horizontal="right" vertical="center"/>
    </xf>
    <xf numFmtId="166" fontId="0" fillId="0" borderId="52" xfId="1" quotePrefix="1" applyNumberFormat="1" applyFont="1" applyBorder="1" applyAlignment="1">
      <alignment horizontal="right" vertical="center"/>
    </xf>
    <xf numFmtId="166" fontId="0" fillId="0" borderId="2" xfId="0" quotePrefix="1" applyNumberFormat="1" applyBorder="1" applyAlignment="1">
      <alignment horizontal="right" vertical="center"/>
    </xf>
    <xf numFmtId="166" fontId="0" fillId="0" borderId="2" xfId="1" quotePrefix="1" applyNumberFormat="1" applyFont="1" applyBorder="1" applyAlignment="1">
      <alignment horizontal="right" vertical="center"/>
    </xf>
    <xf numFmtId="166" fontId="0" fillId="0" borderId="2" xfId="1" applyNumberFormat="1" applyFont="1" applyBorder="1" applyAlignment="1">
      <alignment horizontal="right" vertical="center"/>
    </xf>
    <xf numFmtId="167" fontId="0" fillId="0" borderId="2" xfId="1" quotePrefix="1" applyNumberFormat="1" applyFont="1" applyBorder="1" applyAlignment="1">
      <alignment horizontal="right" vertical="center"/>
    </xf>
    <xf numFmtId="166" fontId="0" fillId="0" borderId="15" xfId="1" applyNumberFormat="1" applyFont="1" applyBorder="1" applyAlignment="1">
      <alignment horizontal="right" vertical="center"/>
    </xf>
    <xf numFmtId="166" fontId="0" fillId="0" borderId="3" xfId="1" applyNumberFormat="1" applyFont="1" applyBorder="1" applyAlignment="1">
      <alignment horizontal="right" vertical="center"/>
    </xf>
    <xf numFmtId="166" fontId="0" fillId="0" borderId="2" xfId="1" quotePrefix="1" applyNumberFormat="1" applyFont="1" applyBorder="1" applyAlignment="1">
      <alignment vertical="center"/>
    </xf>
    <xf numFmtId="166" fontId="0" fillId="0" borderId="3" xfId="1" applyNumberFormat="1" applyFont="1" applyBorder="1" applyAlignment="1">
      <alignment vertical="center"/>
    </xf>
    <xf numFmtId="166" fontId="0" fillId="0" borderId="5" xfId="1" applyNumberFormat="1" applyFont="1" applyBorder="1" applyAlignment="1">
      <alignment horizontal="right" vertical="center" wrapText="1"/>
    </xf>
    <xf numFmtId="166" fontId="0" fillId="0" borderId="17" xfId="1" applyNumberFormat="1" applyFont="1" applyBorder="1" applyAlignment="1">
      <alignment horizontal="right" vertical="center" wrapText="1"/>
    </xf>
    <xf numFmtId="166" fontId="0" fillId="0" borderId="2" xfId="1" applyNumberFormat="1" applyFont="1" applyBorder="1" applyAlignment="1">
      <alignment horizontal="right" vertical="center" wrapText="1"/>
    </xf>
    <xf numFmtId="166" fontId="0" fillId="0" borderId="5" xfId="1" quotePrefix="1" applyNumberFormat="1" applyFont="1" applyBorder="1" applyAlignment="1">
      <alignment horizontal="right" vertical="center"/>
    </xf>
    <xf numFmtId="166" fontId="0" fillId="0" borderId="7" xfId="1" quotePrefix="1" applyNumberFormat="1" applyFont="1" applyBorder="1" applyAlignment="1">
      <alignment horizontal="right" vertical="center"/>
    </xf>
    <xf numFmtId="166" fontId="0" fillId="0" borderId="18" xfId="1" quotePrefix="1" applyNumberFormat="1" applyFont="1" applyBorder="1" applyAlignment="1">
      <alignment horizontal="right" vertical="center"/>
    </xf>
    <xf numFmtId="166" fontId="0" fillId="0" borderId="30" xfId="1" quotePrefix="1" applyNumberFormat="1" applyFont="1" applyBorder="1" applyAlignment="1">
      <alignment horizontal="right" vertical="center"/>
    </xf>
    <xf numFmtId="166" fontId="0" fillId="0" borderId="43" xfId="1" quotePrefix="1" applyNumberFormat="1" applyFont="1" applyBorder="1" applyAlignment="1">
      <alignment horizontal="right" vertical="center"/>
    </xf>
    <xf numFmtId="167" fontId="0" fillId="0" borderId="2" xfId="0" quotePrefix="1" applyNumberFormat="1" applyBorder="1" applyAlignment="1">
      <alignment horizontal="right" vertical="center"/>
    </xf>
    <xf numFmtId="170" fontId="0" fillId="0" borderId="2" xfId="1" quotePrefix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6" fontId="0" fillId="0" borderId="5" xfId="1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165" fontId="0" fillId="0" borderId="19" xfId="1" applyNumberFormat="1" applyFont="1" applyBorder="1" applyAlignment="1">
      <alignment horizontal="right" vertical="center"/>
    </xf>
    <xf numFmtId="166" fontId="0" fillId="0" borderId="2" xfId="1" applyNumberFormat="1" applyFont="1" applyBorder="1" applyAlignment="1">
      <alignment vertical="center"/>
    </xf>
    <xf numFmtId="166" fontId="0" fillId="0" borderId="17" xfId="1" quotePrefix="1" applyNumberFormat="1" applyFont="1" applyBorder="1" applyAlignment="1">
      <alignment horizontal="right" vertical="center" indent="1"/>
    </xf>
    <xf numFmtId="166" fontId="0" fillId="0" borderId="6" xfId="1" quotePrefix="1" applyNumberFormat="1" applyFont="1" applyBorder="1" applyAlignment="1">
      <alignment horizontal="right" vertical="center"/>
    </xf>
    <xf numFmtId="167" fontId="0" fillId="0" borderId="6" xfId="1" applyNumberFormat="1" applyFon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7" fontId="0" fillId="0" borderId="6" xfId="1" quotePrefix="1" applyNumberFormat="1" applyFont="1" applyBorder="1" applyAlignment="1">
      <alignment horizontal="right" vertical="center"/>
    </xf>
    <xf numFmtId="165" fontId="0" fillId="0" borderId="6" xfId="1" quotePrefix="1" applyNumberFormat="1" applyFont="1" applyBorder="1" applyAlignment="1">
      <alignment horizontal="right" vertical="center"/>
    </xf>
    <xf numFmtId="166" fontId="0" fillId="0" borderId="6" xfId="1" applyNumberFormat="1" applyFont="1" applyBorder="1" applyAlignment="1">
      <alignment horizontal="right" vertical="center"/>
    </xf>
    <xf numFmtId="165" fontId="0" fillId="0" borderId="17" xfId="1" quotePrefix="1" applyNumberFormat="1" applyFont="1" applyBorder="1" applyAlignment="1">
      <alignment horizontal="right" vertical="center" indent="1"/>
    </xf>
    <xf numFmtId="167" fontId="2" fillId="0" borderId="2" xfId="1" applyNumberFormat="1" applyFont="1" applyBorder="1" applyAlignment="1">
      <alignment horizontal="right" vertical="center"/>
    </xf>
    <xf numFmtId="166" fontId="0" fillId="0" borderId="9" xfId="1" quotePrefix="1" applyNumberFormat="1" applyFont="1" applyBorder="1" applyAlignment="1">
      <alignment horizontal="right" vertical="center"/>
    </xf>
    <xf numFmtId="1" fontId="0" fillId="0" borderId="17" xfId="0" applyNumberFormat="1" applyBorder="1" applyAlignment="1">
      <alignment horizontal="right" vertical="center"/>
    </xf>
    <xf numFmtId="166" fontId="0" fillId="0" borderId="19" xfId="0" quotePrefix="1" applyNumberFormat="1" applyBorder="1" applyAlignment="1">
      <alignment horizontal="center" vertical="center"/>
    </xf>
    <xf numFmtId="167" fontId="0" fillId="0" borderId="2" xfId="1" quotePrefix="1" applyNumberFormat="1" applyFont="1" applyBorder="1" applyAlignment="1">
      <alignment vertical="center"/>
    </xf>
    <xf numFmtId="166" fontId="0" fillId="0" borderId="37" xfId="1" quotePrefix="1" applyNumberFormat="1" applyFont="1" applyBorder="1" applyAlignment="1">
      <alignment horizontal="right" vertical="center"/>
    </xf>
    <xf numFmtId="166" fontId="0" fillId="0" borderId="38" xfId="1" quotePrefix="1" applyNumberFormat="1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166" fontId="0" fillId="0" borderId="38" xfId="1" applyNumberFormat="1" applyFont="1" applyBorder="1" applyAlignment="1">
      <alignment horizontal="right" vertical="center"/>
    </xf>
    <xf numFmtId="166" fontId="0" fillId="0" borderId="46" xfId="1" quotePrefix="1" applyNumberFormat="1" applyFont="1" applyBorder="1" applyAlignment="1">
      <alignment horizontal="right" vertical="center"/>
    </xf>
    <xf numFmtId="0" fontId="0" fillId="0" borderId="46" xfId="0" quotePrefix="1" applyBorder="1" applyAlignment="1">
      <alignment horizontal="right" vertical="center"/>
    </xf>
    <xf numFmtId="0" fontId="0" fillId="0" borderId="11" xfId="0" quotePrefix="1" applyNumberFormat="1" applyBorder="1" applyAlignment="1">
      <alignment horizontal="right" vertical="center"/>
    </xf>
    <xf numFmtId="166" fontId="0" fillId="0" borderId="12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7" fontId="0" fillId="0" borderId="2" xfId="1" applyNumberFormat="1" applyFont="1" applyBorder="1" applyAlignment="1">
      <alignment horizontal="right" vertical="center"/>
    </xf>
    <xf numFmtId="167" fontId="0" fillId="0" borderId="51" xfId="1" applyNumberFormat="1" applyFont="1" applyBorder="1" applyAlignment="1">
      <alignment horizontal="right" vertical="center"/>
    </xf>
    <xf numFmtId="166" fontId="0" fillId="0" borderId="51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0" xfId="0" applyFill="1" applyAlignment="1">
      <alignment vertical="center"/>
    </xf>
    <xf numFmtId="170" fontId="0" fillId="0" borderId="0" xfId="0" applyNumberFormat="1"/>
    <xf numFmtId="0" fontId="0" fillId="0" borderId="0" xfId="0" applyFill="1"/>
    <xf numFmtId="165" fontId="0" fillId="0" borderId="0" xfId="0" applyNumberFormat="1"/>
    <xf numFmtId="0" fontId="13" fillId="0" borderId="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166" fontId="2" fillId="0" borderId="30" xfId="1" applyNumberFormat="1" applyFont="1" applyFill="1" applyBorder="1" applyAlignment="1">
      <alignment horizontal="right" vertical="center" wrapText="1"/>
    </xf>
    <xf numFmtId="0" fontId="13" fillId="0" borderId="64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166" fontId="2" fillId="0" borderId="17" xfId="1" applyNumberFormat="1" applyFont="1" applyFill="1" applyBorder="1" applyAlignment="1">
      <alignment horizontal="right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Fill="1" applyBorder="1" applyAlignment="1">
      <alignment horizontal="left" vertical="center"/>
    </xf>
    <xf numFmtId="3" fontId="2" fillId="0" borderId="67" xfId="0" applyNumberFormat="1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166" fontId="2" fillId="0" borderId="67" xfId="1" applyNumberFormat="1" applyFont="1" applyBorder="1" applyAlignment="1">
      <alignment horizontal="right" vertical="center" wrapText="1"/>
    </xf>
    <xf numFmtId="166" fontId="2" fillId="0" borderId="67" xfId="1" applyNumberFormat="1" applyFont="1" applyFill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164" fontId="0" fillId="0" borderId="30" xfId="2" quotePrefix="1" applyFont="1" applyBorder="1" applyAlignment="1">
      <alignment horizontal="right" wrapText="1"/>
    </xf>
    <xf numFmtId="166" fontId="0" fillId="0" borderId="53" xfId="1" quotePrefix="1" applyNumberFormat="1" applyFont="1" applyBorder="1" applyAlignment="1">
      <alignment horizontal="right" wrapText="1"/>
    </xf>
    <xf numFmtId="0" fontId="0" fillId="0" borderId="16" xfId="0" applyBorder="1" applyAlignment="1">
      <alignment horizontal="center" wrapText="1"/>
    </xf>
    <xf numFmtId="164" fontId="0" fillId="0" borderId="17" xfId="2" quotePrefix="1" applyFont="1" applyBorder="1" applyAlignment="1">
      <alignment horizontal="right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166" fontId="12" fillId="0" borderId="18" xfId="1" quotePrefix="1" applyNumberFormat="1" applyFont="1" applyBorder="1" applyAlignment="1">
      <alignment horizontal="right" wrapText="1"/>
    </xf>
    <xf numFmtId="0" fontId="12" fillId="0" borderId="49" xfId="0" applyFont="1" applyBorder="1" applyAlignment="1">
      <alignment horizontal="center" wrapText="1"/>
    </xf>
    <xf numFmtId="0" fontId="12" fillId="0" borderId="44" xfId="0" applyFont="1" applyBorder="1" applyAlignment="1">
      <alignment horizontal="center" vertical="center" wrapText="1"/>
    </xf>
    <xf numFmtId="166" fontId="12" fillId="0" borderId="43" xfId="1" quotePrefix="1" applyNumberFormat="1" applyFont="1" applyBorder="1" applyAlignment="1">
      <alignment horizontal="right" wrapText="1"/>
    </xf>
    <xf numFmtId="164" fontId="0" fillId="0" borderId="30" xfId="2" applyFont="1" applyBorder="1" applyAlignment="1">
      <alignment horizontal="right"/>
    </xf>
    <xf numFmtId="164" fontId="0" fillId="0" borderId="17" xfId="2" applyFont="1" applyBorder="1" applyAlignment="1">
      <alignment horizontal="right"/>
    </xf>
    <xf numFmtId="3" fontId="8" fillId="0" borderId="40" xfId="0" applyNumberFormat="1" applyFont="1" applyBorder="1" applyAlignment="1">
      <alignment horizontal="right"/>
    </xf>
    <xf numFmtId="166" fontId="12" fillId="0" borderId="17" xfId="1" quotePrefix="1" applyNumberFormat="1" applyFont="1" applyBorder="1" applyAlignment="1">
      <alignment horizontal="right" wrapText="1"/>
    </xf>
    <xf numFmtId="166" fontId="12" fillId="0" borderId="44" xfId="1" quotePrefix="1" applyNumberFormat="1" applyFont="1" applyBorder="1" applyAlignment="1">
      <alignment horizontal="right" wrapText="1"/>
    </xf>
    <xf numFmtId="0" fontId="15" fillId="0" borderId="0" xfId="0" applyFont="1"/>
    <xf numFmtId="164" fontId="0" fillId="0" borderId="0" xfId="0" applyNumberFormat="1"/>
    <xf numFmtId="1" fontId="0" fillId="0" borderId="0" xfId="0" applyNumberFormat="1"/>
    <xf numFmtId="167" fontId="0" fillId="0" borderId="46" xfId="1" quotePrefix="1" applyNumberFormat="1" applyFont="1" applyBorder="1" applyAlignment="1">
      <alignment horizontal="right" vertical="center"/>
    </xf>
    <xf numFmtId="49" fontId="2" fillId="0" borderId="17" xfId="1" applyNumberFormat="1" applyFont="1" applyBorder="1" applyAlignment="1">
      <alignment horizontal="right" vertical="center"/>
    </xf>
    <xf numFmtId="1" fontId="0" fillId="0" borderId="17" xfId="1" quotePrefix="1" applyNumberFormat="1" applyFont="1" applyBorder="1" applyAlignment="1">
      <alignment horizontal="right" vertical="center"/>
    </xf>
    <xf numFmtId="166" fontId="2" fillId="0" borderId="17" xfId="1" quotePrefix="1" applyNumberFormat="1" applyFont="1" applyBorder="1" applyAlignment="1">
      <alignment horizontal="right" vertical="center"/>
    </xf>
    <xf numFmtId="0" fontId="0" fillId="4" borderId="35" xfId="0" applyFill="1" applyBorder="1" applyAlignment="1">
      <alignment horizontal="left" vertical="center" wrapText="1"/>
    </xf>
    <xf numFmtId="164" fontId="0" fillId="0" borderId="5" xfId="1" quotePrefix="1" applyNumberFormat="1" applyFont="1" applyBorder="1" applyAlignment="1">
      <alignment horizontal="center" vertical="center"/>
    </xf>
    <xf numFmtId="164" fontId="0" fillId="0" borderId="17" xfId="1" quotePrefix="1" applyNumberFormat="1" applyFont="1" applyBorder="1" applyAlignment="1">
      <alignment horizontal="center" vertical="center"/>
    </xf>
    <xf numFmtId="164" fontId="0" fillId="0" borderId="36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0" fillId="0" borderId="5" xfId="1" quotePrefix="1" applyNumberFormat="1" applyFont="1" applyBorder="1" applyAlignment="1">
      <alignment horizontal="center" vertical="center"/>
    </xf>
    <xf numFmtId="3" fontId="0" fillId="0" borderId="5" xfId="0" quotePrefix="1" applyNumberFormat="1" applyBorder="1" applyAlignment="1">
      <alignment horizontal="center" vertical="center"/>
    </xf>
    <xf numFmtId="3" fontId="0" fillId="0" borderId="6" xfId="1" quotePrefix="1" applyNumberFormat="1" applyFont="1" applyBorder="1" applyAlignment="1">
      <alignment horizontal="center" vertical="center"/>
    </xf>
    <xf numFmtId="3" fontId="0" fillId="0" borderId="17" xfId="1" quotePrefix="1" applyNumberFormat="1" applyFont="1" applyBorder="1" applyAlignment="1">
      <alignment horizontal="center" vertical="center"/>
    </xf>
    <xf numFmtId="3" fontId="0" fillId="0" borderId="17" xfId="0" quotePrefix="1" applyNumberFormat="1" applyBorder="1" applyAlignment="1">
      <alignment horizontal="center" vertical="center"/>
    </xf>
    <xf numFmtId="3" fontId="0" fillId="0" borderId="36" xfId="1" quotePrefix="1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7" xfId="1" applyNumberFormat="1" applyFont="1" applyBorder="1" applyAlignment="1">
      <alignment horizontal="center" vertical="center"/>
    </xf>
    <xf numFmtId="3" fontId="0" fillId="0" borderId="36" xfId="0" quotePrefix="1" applyNumberFormat="1" applyBorder="1" applyAlignment="1">
      <alignment horizontal="center" vertical="center"/>
    </xf>
    <xf numFmtId="3" fontId="0" fillId="0" borderId="36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 vertical="center"/>
    </xf>
    <xf numFmtId="3" fontId="6" fillId="0" borderId="17" xfId="1" quotePrefix="1" applyNumberFormat="1" applyFont="1" applyBorder="1" applyAlignment="1">
      <alignment horizontal="center" vertical="center"/>
    </xf>
    <xf numFmtId="3" fontId="2" fillId="0" borderId="44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44" xfId="1" quotePrefix="1" applyNumberFormat="1" applyFont="1" applyBorder="1" applyAlignment="1">
      <alignment horizontal="center" vertical="center"/>
    </xf>
    <xf numFmtId="164" fontId="0" fillId="0" borderId="44" xfId="1" quotePrefix="1" applyNumberFormat="1" applyFont="1" applyBorder="1" applyAlignment="1">
      <alignment horizontal="center" vertical="center"/>
    </xf>
    <xf numFmtId="3" fontId="0" fillId="0" borderId="0" xfId="0" quotePrefix="1" applyNumberFormat="1" applyBorder="1" applyAlignment="1">
      <alignment horizontal="center" vertical="center"/>
    </xf>
    <xf numFmtId="3" fontId="0" fillId="0" borderId="0" xfId="1" quotePrefix="1" applyNumberFormat="1" applyFont="1" applyBorder="1" applyAlignment="1">
      <alignment horizontal="center" vertical="center"/>
    </xf>
    <xf numFmtId="3" fontId="0" fillId="0" borderId="0" xfId="1" quotePrefix="1" applyNumberFormat="1" applyFont="1" applyBorder="1" applyAlignment="1">
      <alignment horizontal="center" vertical="center" wrapText="1"/>
    </xf>
    <xf numFmtId="166" fontId="0" fillId="0" borderId="0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2" fillId="0" borderId="44" xfId="1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44" xfId="1" applyNumberFormat="1" applyFont="1" applyBorder="1" applyAlignment="1">
      <alignment horizontal="center" vertical="center" wrapText="1"/>
    </xf>
    <xf numFmtId="166" fontId="2" fillId="0" borderId="44" xfId="1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4" borderId="0" xfId="0" applyNumberFormat="1" applyFill="1"/>
    <xf numFmtId="0" fontId="2" fillId="0" borderId="29" xfId="0" applyFont="1" applyBorder="1" applyAlignment="1">
      <alignment horizontal="center" wrapText="1"/>
    </xf>
    <xf numFmtId="2" fontId="0" fillId="0" borderId="0" xfId="0" applyNumberFormat="1" applyAlignment="1">
      <alignment horizontal="left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2" fontId="2" fillId="0" borderId="67" xfId="2" applyNumberFormat="1" applyFont="1" applyBorder="1" applyAlignment="1">
      <alignment horizontal="right" vertical="center" wrapText="1"/>
    </xf>
    <xf numFmtId="2" fontId="8" fillId="0" borderId="40" xfId="0" applyNumberFormat="1" applyFont="1" applyBorder="1" applyAlignment="1">
      <alignment horizontal="right"/>
    </xf>
    <xf numFmtId="2" fontId="0" fillId="0" borderId="30" xfId="2" quotePrefix="1" applyNumberFormat="1" applyFont="1" applyBorder="1" applyAlignment="1">
      <alignment horizontal="right" wrapText="1"/>
    </xf>
    <xf numFmtId="2" fontId="0" fillId="0" borderId="17" xfId="2" quotePrefix="1" applyNumberFormat="1" applyFont="1" applyBorder="1" applyAlignment="1">
      <alignment horizontal="right" wrapText="1"/>
    </xf>
    <xf numFmtId="2" fontId="12" fillId="0" borderId="17" xfId="1" quotePrefix="1" applyNumberFormat="1" applyFont="1" applyBorder="1" applyAlignment="1">
      <alignment horizontal="right" wrapText="1"/>
    </xf>
    <xf numFmtId="2" fontId="12" fillId="0" borderId="44" xfId="1" quotePrefix="1" applyNumberFormat="1" applyFont="1" applyBorder="1" applyAlignment="1">
      <alignment horizontal="right" wrapText="1"/>
    </xf>
    <xf numFmtId="2" fontId="0" fillId="0" borderId="0" xfId="0" applyNumberFormat="1"/>
    <xf numFmtId="2" fontId="13" fillId="0" borderId="0" xfId="0" applyNumberFormat="1" applyFont="1"/>
    <xf numFmtId="171" fontId="0" fillId="0" borderId="0" xfId="0" applyNumberFormat="1"/>
    <xf numFmtId="172" fontId="0" fillId="0" borderId="0" xfId="0" applyNumberFormat="1"/>
    <xf numFmtId="172" fontId="2" fillId="0" borderId="17" xfId="1" applyNumberFormat="1" applyFont="1" applyBorder="1" applyAlignment="1">
      <alignment horizontal="right" vertical="center"/>
    </xf>
    <xf numFmtId="172" fontId="0" fillId="0" borderId="17" xfId="1" quotePrefix="1" applyNumberFormat="1" applyFont="1" applyBorder="1" applyAlignment="1">
      <alignment horizontal="right" vertical="center"/>
    </xf>
    <xf numFmtId="172" fontId="0" fillId="0" borderId="2" xfId="0" quotePrefix="1" applyNumberFormat="1" applyBorder="1" applyAlignment="1">
      <alignment horizontal="right" vertical="center"/>
    </xf>
    <xf numFmtId="172" fontId="0" fillId="0" borderId="2" xfId="1" quotePrefix="1" applyNumberFormat="1" applyFont="1" applyBorder="1" applyAlignment="1">
      <alignment horizontal="right" vertical="center"/>
    </xf>
    <xf numFmtId="172" fontId="0" fillId="0" borderId="2" xfId="1" applyNumberFormat="1" applyFont="1" applyBorder="1" applyAlignment="1">
      <alignment horizontal="right" vertical="center"/>
    </xf>
    <xf numFmtId="172" fontId="2" fillId="0" borderId="17" xfId="1" quotePrefix="1" applyNumberFormat="1" applyFont="1" applyBorder="1" applyAlignment="1">
      <alignment horizontal="right" vertical="center"/>
    </xf>
    <xf numFmtId="171" fontId="0" fillId="0" borderId="17" xfId="1" quotePrefix="1" applyNumberFormat="1" applyFont="1" applyBorder="1" applyAlignment="1">
      <alignment horizontal="center" vertical="center"/>
    </xf>
    <xf numFmtId="172" fontId="0" fillId="0" borderId="39" xfId="1" applyNumberFormat="1" applyFont="1" applyFill="1" applyBorder="1" applyAlignment="1">
      <alignment horizontal="right" wrapText="1"/>
    </xf>
    <xf numFmtId="1" fontId="8" fillId="0" borderId="41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9" fontId="0" fillId="0" borderId="2" xfId="1" quotePrefix="1" applyNumberFormat="1" applyFont="1" applyBorder="1" applyAlignment="1">
      <alignment horizontal="right" vertical="center"/>
    </xf>
    <xf numFmtId="1" fontId="13" fillId="0" borderId="7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34" xfId="0" applyFill="1" applyBorder="1" applyAlignment="1">
      <alignment horizontal="left" vertical="center" wrapText="1"/>
    </xf>
    <xf numFmtId="0" fontId="2" fillId="0" borderId="0" xfId="0" applyFont="1" applyFill="1" applyBorder="1"/>
    <xf numFmtId="167" fontId="2" fillId="0" borderId="2" xfId="0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0" fontId="0" fillId="4" borderId="55" xfId="0" applyFill="1" applyBorder="1" applyAlignment="1">
      <alignment horizontal="left" vertical="center" wrapText="1"/>
    </xf>
    <xf numFmtId="0" fontId="8" fillId="0" borderId="71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1" fontId="8" fillId="0" borderId="9" xfId="0" applyNumberFormat="1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7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172" fontId="0" fillId="0" borderId="17" xfId="1" applyNumberFormat="1" applyFont="1" applyBorder="1" applyAlignment="1">
      <alignment horizontal="right" vertical="center"/>
    </xf>
    <xf numFmtId="0" fontId="0" fillId="5" borderId="45" xfId="0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left" vertical="center"/>
    </xf>
    <xf numFmtId="3" fontId="2" fillId="0" borderId="30" xfId="0" applyNumberFormat="1" applyFont="1" applyFill="1" applyBorder="1" applyAlignment="1">
      <alignment vertical="center"/>
    </xf>
    <xf numFmtId="166" fontId="2" fillId="0" borderId="30" xfId="1" quotePrefix="1" applyNumberFormat="1" applyFont="1" applyFill="1" applyBorder="1" applyAlignment="1">
      <alignment horizontal="right" vertical="center" wrapText="1"/>
    </xf>
    <xf numFmtId="2" fontId="2" fillId="0" borderId="30" xfId="2" quotePrefix="1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164" fontId="2" fillId="0" borderId="30" xfId="1" quotePrefix="1" applyNumberFormat="1" applyFont="1" applyFill="1" applyBorder="1" applyAlignment="1">
      <alignment horizontal="right" vertical="center" wrapText="1"/>
    </xf>
    <xf numFmtId="167" fontId="2" fillId="0" borderId="30" xfId="1" quotePrefix="1" applyNumberFormat="1" applyFont="1" applyFill="1" applyBorder="1" applyAlignment="1">
      <alignment horizontal="right" vertical="center" wrapText="1"/>
    </xf>
    <xf numFmtId="37" fontId="2" fillId="0" borderId="30" xfId="1" quotePrefix="1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2" fontId="2" fillId="0" borderId="30" xfId="2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2" fontId="2" fillId="0" borderId="17" xfId="2" applyNumberFormat="1" applyFont="1" applyFill="1" applyBorder="1" applyAlignment="1">
      <alignment horizontal="right" vertical="center" wrapText="1"/>
    </xf>
    <xf numFmtId="1" fontId="2" fillId="0" borderId="30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horizontal="righ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0" xfId="0" applyNumberFormat="1" applyFont="1"/>
    <xf numFmtId="0" fontId="1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0" fontId="0" fillId="0" borderId="48" xfId="0" applyBorder="1" applyAlignment="1">
      <alignment horizontal="center" vertical="center"/>
    </xf>
    <xf numFmtId="166" fontId="2" fillId="0" borderId="30" xfId="1" applyNumberFormat="1" applyFont="1" applyFill="1" applyBorder="1" applyAlignment="1">
      <alignment vertical="center"/>
    </xf>
    <xf numFmtId="1" fontId="2" fillId="0" borderId="30" xfId="2" quotePrefix="1" applyNumberFormat="1" applyFont="1" applyFill="1" applyBorder="1" applyAlignment="1">
      <alignment horizontal="right" vertical="center" wrapText="1"/>
    </xf>
    <xf numFmtId="41" fontId="2" fillId="0" borderId="30" xfId="0" applyNumberFormat="1" applyFont="1" applyFill="1" applyBorder="1" applyAlignment="1">
      <alignment horizontal="right" vertical="center"/>
    </xf>
    <xf numFmtId="1" fontId="2" fillId="0" borderId="30" xfId="2" applyNumberFormat="1" applyFont="1" applyFill="1" applyBorder="1" applyAlignment="1">
      <alignment horizontal="right" vertical="center" wrapText="1"/>
    </xf>
  </cellXfs>
  <cellStyles count="27">
    <cellStyle name="Comma" xfId="1" builtinId="3"/>
    <cellStyle name="Comma [0]" xfId="2" builtinId="6"/>
    <cellStyle name="Comma [0] 2" xfId="6"/>
    <cellStyle name="Comma 10" xfId="7"/>
    <cellStyle name="Comma 11" xfId="8"/>
    <cellStyle name="Comma 12" xfId="9"/>
    <cellStyle name="Comma 13" xfId="10"/>
    <cellStyle name="Comma 2" xfId="5"/>
    <cellStyle name="Comma 4" xfId="11"/>
    <cellStyle name="Comma 5" xfId="12"/>
    <cellStyle name="Comma 6" xfId="13"/>
    <cellStyle name="Comma 7" xfId="14"/>
    <cellStyle name="Comma 8" xfId="15"/>
    <cellStyle name="Comma 9" xfId="16"/>
    <cellStyle name="Normal" xfId="0" builtinId="0"/>
    <cellStyle name="Normal 10" xfId="17"/>
    <cellStyle name="Normal 11" xfId="18"/>
    <cellStyle name="Normal 12" xfId="19"/>
    <cellStyle name="Normal 13" xfId="20"/>
    <cellStyle name="Normal 2" xfId="4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B13" zoomScaleNormal="100" workbookViewId="0">
      <selection activeCell="H34" sqref="H34"/>
    </sheetView>
  </sheetViews>
  <sheetFormatPr defaultRowHeight="12.75" x14ac:dyDescent="0.2"/>
  <cols>
    <col min="1" max="1" width="4.28515625" hidden="1" customWidth="1"/>
    <col min="2" max="2" width="4" customWidth="1"/>
    <col min="3" max="3" width="12.140625" customWidth="1"/>
    <col min="4" max="4" width="7.42578125" customWidth="1"/>
    <col min="5" max="5" width="8.85546875" customWidth="1"/>
    <col min="6" max="6" width="9.7109375" customWidth="1"/>
    <col min="7" max="7" width="8.28515625" customWidth="1"/>
    <col min="8" max="8" width="10.28515625" style="330" bestFit="1" customWidth="1"/>
    <col min="9" max="9" width="14.5703125" customWidth="1"/>
    <col min="10" max="10" width="8.28515625" customWidth="1"/>
    <col min="11" max="11" width="11.7109375" bestFit="1" customWidth="1"/>
  </cols>
  <sheetData>
    <row r="1" spans="2:12" ht="7.5" customHeight="1" x14ac:dyDescent="0.2"/>
    <row r="2" spans="2:12" ht="20.100000000000001" customHeight="1" x14ac:dyDescent="0.2">
      <c r="B2" s="413" t="s">
        <v>93</v>
      </c>
      <c r="C2" s="413"/>
      <c r="D2" s="413"/>
      <c r="E2" s="413"/>
      <c r="F2" s="413"/>
      <c r="G2" s="413"/>
      <c r="H2" s="413"/>
      <c r="I2" s="413"/>
      <c r="J2" s="413"/>
      <c r="K2" s="413"/>
    </row>
    <row r="3" spans="2:12" ht="20.100000000000001" customHeight="1" x14ac:dyDescent="0.2">
      <c r="B3" s="413" t="s">
        <v>53</v>
      </c>
      <c r="C3" s="413"/>
      <c r="D3" s="413"/>
      <c r="E3" s="413"/>
      <c r="F3" s="413"/>
      <c r="G3" s="413"/>
      <c r="H3" s="413"/>
      <c r="I3" s="413"/>
      <c r="J3" s="413"/>
      <c r="K3" s="413"/>
    </row>
    <row r="4" spans="2:12" ht="15" customHeight="1" x14ac:dyDescent="0.2">
      <c r="B4" s="413" t="s">
        <v>166</v>
      </c>
      <c r="C4" s="413"/>
      <c r="D4" s="413"/>
      <c r="E4" s="413"/>
      <c r="F4" s="413"/>
      <c r="G4" s="413"/>
      <c r="H4" s="413"/>
      <c r="I4" s="413"/>
      <c r="J4" s="413"/>
      <c r="K4" s="413"/>
    </row>
    <row r="5" spans="2:12" ht="9" customHeight="1" thickBot="1" x14ac:dyDescent="0.25">
      <c r="B5" s="346"/>
      <c r="C5" s="346"/>
      <c r="D5" s="346"/>
      <c r="E5" s="346"/>
      <c r="F5" s="346"/>
      <c r="G5" s="346"/>
      <c r="H5" s="320"/>
      <c r="I5" s="346"/>
      <c r="J5" s="346"/>
      <c r="K5" s="346"/>
    </row>
    <row r="6" spans="2:12" ht="18" customHeight="1" thickTop="1" x14ac:dyDescent="0.2">
      <c r="B6" s="414" t="s">
        <v>50</v>
      </c>
      <c r="C6" s="417" t="s">
        <v>0</v>
      </c>
      <c r="D6" s="420" t="s">
        <v>115</v>
      </c>
      <c r="E6" s="420"/>
      <c r="F6" s="420"/>
      <c r="G6" s="343" t="s">
        <v>13</v>
      </c>
      <c r="H6" s="321" t="s">
        <v>94</v>
      </c>
      <c r="I6" s="343" t="s">
        <v>116</v>
      </c>
      <c r="J6" s="343" t="s">
        <v>13</v>
      </c>
      <c r="K6" s="227" t="s">
        <v>117</v>
      </c>
    </row>
    <row r="7" spans="2:12" ht="18" customHeight="1" x14ac:dyDescent="0.2">
      <c r="B7" s="415"/>
      <c r="C7" s="418"/>
      <c r="D7" s="228" t="s">
        <v>4</v>
      </c>
      <c r="E7" s="229" t="s">
        <v>5</v>
      </c>
      <c r="F7" s="229" t="s">
        <v>6</v>
      </c>
      <c r="G7" s="344" t="s">
        <v>118</v>
      </c>
      <c r="H7" s="322" t="s">
        <v>119</v>
      </c>
      <c r="I7" s="344" t="s">
        <v>120</v>
      </c>
      <c r="J7" s="344" t="s">
        <v>121</v>
      </c>
      <c r="K7" s="230" t="s">
        <v>94</v>
      </c>
    </row>
    <row r="8" spans="2:12" ht="18" customHeight="1" x14ac:dyDescent="0.2">
      <c r="B8" s="416"/>
      <c r="C8" s="419"/>
      <c r="D8" s="231"/>
      <c r="E8" s="345"/>
      <c r="F8" s="345"/>
      <c r="G8" s="345"/>
      <c r="H8" s="323"/>
      <c r="I8" s="345" t="s">
        <v>122</v>
      </c>
      <c r="J8" s="345" t="s">
        <v>123</v>
      </c>
      <c r="K8" s="232"/>
    </row>
    <row r="9" spans="2:12" ht="18" customHeight="1" thickBot="1" x14ac:dyDescent="0.25">
      <c r="B9" s="313">
        <v>1</v>
      </c>
      <c r="C9" s="314">
        <v>2</v>
      </c>
      <c r="D9" s="314">
        <v>3</v>
      </c>
      <c r="E9" s="314">
        <v>4</v>
      </c>
      <c r="F9" s="314">
        <v>5</v>
      </c>
      <c r="G9" s="314">
        <v>6</v>
      </c>
      <c r="H9" s="348">
        <v>7</v>
      </c>
      <c r="I9" s="314">
        <v>8</v>
      </c>
      <c r="J9" s="314">
        <v>9</v>
      </c>
      <c r="K9" s="315">
        <v>10</v>
      </c>
    </row>
    <row r="10" spans="2:12" ht="18" customHeight="1" thickTop="1" x14ac:dyDescent="0.2">
      <c r="B10" s="380">
        <v>1</v>
      </c>
      <c r="C10" s="381" t="s">
        <v>95</v>
      </c>
      <c r="D10" s="382">
        <f>' kom 2021'!C21</f>
        <v>418</v>
      </c>
      <c r="E10" s="382">
        <f>' kom 2021'!D21</f>
        <v>1669</v>
      </c>
      <c r="F10" s="382">
        <f>' kom 2021'!E21</f>
        <v>956.4</v>
      </c>
      <c r="G10" s="383">
        <f>D10+E10+F10</f>
        <v>3043.4</v>
      </c>
      <c r="H10" s="383">
        <f t="shared" ref="H10:H16" si="0">I10/1000*E10</f>
        <v>1507.107</v>
      </c>
      <c r="I10" s="233">
        <f>' kom 2021'!H21</f>
        <v>903</v>
      </c>
      <c r="J10" s="460">
        <f>' kom 2021'!I21</f>
        <v>2934</v>
      </c>
      <c r="K10" s="386" t="s">
        <v>124</v>
      </c>
      <c r="L10" s="34"/>
    </row>
    <row r="11" spans="2:12" ht="18" customHeight="1" x14ac:dyDescent="0.2">
      <c r="B11" s="387">
        <v>2</v>
      </c>
      <c r="C11" s="234" t="s">
        <v>125</v>
      </c>
      <c r="D11" s="382">
        <f>' kom 2021'!C198</f>
        <v>350</v>
      </c>
      <c r="E11" s="388">
        <f>' kom 2021'!D198</f>
        <v>1184.3</v>
      </c>
      <c r="F11" s="388">
        <f>' kom 2021'!E198</f>
        <v>2306.5</v>
      </c>
      <c r="G11" s="383">
        <f>D11+E11+F11</f>
        <v>3840.8</v>
      </c>
      <c r="H11" s="383">
        <f t="shared" si="0"/>
        <v>1065.8699999999999</v>
      </c>
      <c r="I11" s="233">
        <f>' kom 2021'!H198</f>
        <v>900</v>
      </c>
      <c r="J11" s="460">
        <f>' kom 2021'!I198</f>
        <v>8568</v>
      </c>
      <c r="K11" s="389" t="s">
        <v>126</v>
      </c>
    </row>
    <row r="12" spans="2:12" ht="18" customHeight="1" x14ac:dyDescent="0.2">
      <c r="B12" s="387">
        <v>3</v>
      </c>
      <c r="C12" s="234" t="s">
        <v>127</v>
      </c>
      <c r="D12" s="382">
        <f>' kom 2021'!C68</f>
        <v>6537</v>
      </c>
      <c r="E12" s="388">
        <f>' kom 2021'!D68</f>
        <v>22961.1</v>
      </c>
      <c r="F12" s="388">
        <f>' kom 2021'!E68</f>
        <v>2964.6</v>
      </c>
      <c r="G12" s="390">
        <f>D12+E12+F12</f>
        <v>32462.699999999997</v>
      </c>
      <c r="H12" s="383">
        <f t="shared" si="0"/>
        <v>79353.561600000001</v>
      </c>
      <c r="I12" s="233">
        <f>' kom 2021'!H68</f>
        <v>3456</v>
      </c>
      <c r="J12" s="460">
        <f>' kom 2021'!I68</f>
        <v>10968</v>
      </c>
      <c r="K12" s="389" t="s">
        <v>128</v>
      </c>
    </row>
    <row r="13" spans="2:12" ht="18" customHeight="1" x14ac:dyDescent="0.2">
      <c r="B13" s="387">
        <v>4</v>
      </c>
      <c r="C13" s="234" t="s">
        <v>155</v>
      </c>
      <c r="D13" s="391">
        <f>' kom 2021'!C381</f>
        <v>0</v>
      </c>
      <c r="E13" s="385">
        <f>' kom 2021'!D381</f>
        <v>10</v>
      </c>
      <c r="F13" s="385">
        <f>' kom 2021'!E381</f>
        <v>85</v>
      </c>
      <c r="G13" s="383">
        <f>E13+F13</f>
        <v>95</v>
      </c>
      <c r="H13" s="461">
        <f t="shared" si="0"/>
        <v>5.1400000000000006</v>
      </c>
      <c r="I13" s="233">
        <f>' kom 2021'!H381</f>
        <v>514</v>
      </c>
      <c r="J13" s="385">
        <f>' kom 2021'!I381</f>
        <v>164</v>
      </c>
      <c r="K13" s="389" t="s">
        <v>129</v>
      </c>
    </row>
    <row r="14" spans="2:12" ht="18" customHeight="1" x14ac:dyDescent="0.2">
      <c r="B14" s="387">
        <v>5</v>
      </c>
      <c r="C14" s="234" t="s">
        <v>130</v>
      </c>
      <c r="D14" s="382">
        <f>' kom 2021'!C106</f>
        <v>34</v>
      </c>
      <c r="E14" s="385">
        <f>' kom 2021'!D106</f>
        <v>104</v>
      </c>
      <c r="F14" s="385">
        <f>' kom 2021'!E106</f>
        <v>208</v>
      </c>
      <c r="G14" s="383">
        <f>D14+E14+F14</f>
        <v>346</v>
      </c>
      <c r="H14" s="461">
        <f t="shared" si="0"/>
        <v>90.272000000000006</v>
      </c>
      <c r="I14" s="233">
        <f>' kom 2021'!H106</f>
        <v>868</v>
      </c>
      <c r="J14" s="385">
        <f>' kom 2021'!I106</f>
        <v>799</v>
      </c>
      <c r="K14" s="389" t="s">
        <v>129</v>
      </c>
    </row>
    <row r="15" spans="2:12" ht="18" customHeight="1" x14ac:dyDescent="0.2">
      <c r="B15" s="387">
        <v>6</v>
      </c>
      <c r="C15" s="234" t="s">
        <v>131</v>
      </c>
      <c r="D15" s="382">
        <f>' kom 2021'!C499</f>
        <v>113</v>
      </c>
      <c r="E15" s="385">
        <f>' kom 2021'!D499</f>
        <v>120</v>
      </c>
      <c r="F15" s="385">
        <f>' kom 2021'!E499</f>
        <v>165</v>
      </c>
      <c r="G15" s="383">
        <f>D15+E15+F15</f>
        <v>398</v>
      </c>
      <c r="H15" s="461">
        <f t="shared" si="0"/>
        <v>53.160000000000004</v>
      </c>
      <c r="I15" s="233">
        <f>' kom 2021'!H499</f>
        <v>443</v>
      </c>
      <c r="J15" s="385">
        <f>' kom 2021'!I499</f>
        <v>235</v>
      </c>
      <c r="K15" s="389" t="s">
        <v>132</v>
      </c>
    </row>
    <row r="16" spans="2:12" ht="18" customHeight="1" x14ac:dyDescent="0.2">
      <c r="B16" s="387">
        <v>7</v>
      </c>
      <c r="C16" s="234" t="s">
        <v>133</v>
      </c>
      <c r="D16" s="382">
        <f>' kom 2021'!C620</f>
        <v>1.5</v>
      </c>
      <c r="E16" s="399">
        <f>' kom 2021'!D620</f>
        <v>0.5</v>
      </c>
      <c r="F16" s="462">
        <f>' kom 2021'!E620</f>
        <v>1.5</v>
      </c>
      <c r="G16" s="392">
        <f>D16+E16+F16</f>
        <v>3.5</v>
      </c>
      <c r="H16" s="384">
        <f t="shared" si="0"/>
        <v>0.33</v>
      </c>
      <c r="I16" s="233">
        <f>' kom 2021'!H620</f>
        <v>660</v>
      </c>
      <c r="J16" s="385">
        <f>' kom 2021'!I620</f>
        <v>13</v>
      </c>
      <c r="K16" s="389" t="s">
        <v>134</v>
      </c>
      <c r="L16" s="263"/>
    </row>
    <row r="17" spans="2:12" ht="18" customHeight="1" x14ac:dyDescent="0.2">
      <c r="B17" s="387">
        <v>8</v>
      </c>
      <c r="C17" s="234" t="s">
        <v>135</v>
      </c>
      <c r="D17" s="393" t="s">
        <v>12</v>
      </c>
      <c r="E17" s="394" t="s">
        <v>12</v>
      </c>
      <c r="F17" s="394" t="s">
        <v>12</v>
      </c>
      <c r="G17" s="233" t="s">
        <v>12</v>
      </c>
      <c r="H17" s="395" t="s">
        <v>12</v>
      </c>
      <c r="I17" s="233" t="s">
        <v>12</v>
      </c>
      <c r="J17" s="394" t="s">
        <v>12</v>
      </c>
      <c r="K17" s="389" t="s">
        <v>129</v>
      </c>
    </row>
    <row r="18" spans="2:12" s="225" customFormat="1" ht="18" customHeight="1" x14ac:dyDescent="0.2">
      <c r="B18" s="387">
        <v>9</v>
      </c>
      <c r="C18" s="234" t="s">
        <v>136</v>
      </c>
      <c r="D18" s="393">
        <f>' kom 2021'!C461</f>
        <v>4</v>
      </c>
      <c r="E18" s="394">
        <f>' kom 2021'!D461</f>
        <v>4</v>
      </c>
      <c r="F18" s="394">
        <f>' kom 2021'!E461</f>
        <v>0</v>
      </c>
      <c r="G18" s="233">
        <v>4</v>
      </c>
      <c r="H18" s="463">
        <f>I18/1000*E18</f>
        <v>2</v>
      </c>
      <c r="I18" s="233">
        <v>500</v>
      </c>
      <c r="J18" s="394">
        <f>' kom 2021'!I461</f>
        <v>14</v>
      </c>
      <c r="K18" s="389" t="s">
        <v>156</v>
      </c>
    </row>
    <row r="19" spans="2:12" ht="18" customHeight="1" x14ac:dyDescent="0.2">
      <c r="B19" s="387">
        <v>10</v>
      </c>
      <c r="C19" s="235" t="s">
        <v>138</v>
      </c>
      <c r="D19" s="396" t="s">
        <v>12</v>
      </c>
      <c r="E19" s="397" t="s">
        <v>12</v>
      </c>
      <c r="F19" s="397" t="s">
        <v>12</v>
      </c>
      <c r="G19" s="236" t="s">
        <v>12</v>
      </c>
      <c r="H19" s="398" t="s">
        <v>12</v>
      </c>
      <c r="I19" s="236" t="s">
        <v>12</v>
      </c>
      <c r="J19" s="397" t="s">
        <v>12</v>
      </c>
      <c r="K19" s="389" t="s">
        <v>139</v>
      </c>
    </row>
    <row r="20" spans="2:12" ht="18" customHeight="1" x14ac:dyDescent="0.2">
      <c r="B20" s="387">
        <v>11</v>
      </c>
      <c r="C20" s="234" t="s">
        <v>140</v>
      </c>
      <c r="D20" s="382">
        <f>' kom 2021'!C544</f>
        <v>49</v>
      </c>
      <c r="E20" s="385">
        <f>' kom 2021'!D544</f>
        <v>23</v>
      </c>
      <c r="F20" s="385">
        <f>' kom 2021'!E544</f>
        <v>18</v>
      </c>
      <c r="G20" s="383">
        <f>D20+E20+F20</f>
        <v>90</v>
      </c>
      <c r="H20" s="461">
        <f t="shared" ref="H20:H25" si="1">I20/1000*E20</f>
        <v>6.8999999999999995</v>
      </c>
      <c r="I20" s="233">
        <f>' kom 2021'!H544</f>
        <v>300</v>
      </c>
      <c r="J20" s="385">
        <f>' kom 2021'!I544</f>
        <v>91</v>
      </c>
      <c r="K20" s="389" t="s">
        <v>129</v>
      </c>
    </row>
    <row r="21" spans="2:12" ht="18" customHeight="1" x14ac:dyDescent="0.2">
      <c r="B21" s="387">
        <v>12</v>
      </c>
      <c r="C21" s="234" t="s">
        <v>96</v>
      </c>
      <c r="D21" s="382">
        <f>' kom 2021'!C151</f>
        <v>99</v>
      </c>
      <c r="E21" s="385">
        <f>' kom 2021'!D151</f>
        <v>339</v>
      </c>
      <c r="F21" s="399">
        <f>' kom 2021'!E151</f>
        <v>306.39999999999998</v>
      </c>
      <c r="G21" s="383">
        <f>D21+E21+F21</f>
        <v>744.4</v>
      </c>
      <c r="H21" s="461">
        <f t="shared" si="1"/>
        <v>135.6</v>
      </c>
      <c r="I21" s="233">
        <f>' kom 2021'!H151</f>
        <v>400</v>
      </c>
      <c r="J21" s="460">
        <f>' kom 2021'!I151</f>
        <v>1246</v>
      </c>
      <c r="K21" s="389" t="s">
        <v>129</v>
      </c>
    </row>
    <row r="22" spans="2:12" ht="18" customHeight="1" x14ac:dyDescent="0.2">
      <c r="B22" s="387">
        <v>13</v>
      </c>
      <c r="C22" s="234" t="s">
        <v>141</v>
      </c>
      <c r="D22" s="393">
        <f>' kom 2021'!C424</f>
        <v>0</v>
      </c>
      <c r="E22" s="385">
        <f>' kom 2021'!D424</f>
        <v>1</v>
      </c>
      <c r="F22" s="385">
        <f>' kom 2021'!E424</f>
        <v>28</v>
      </c>
      <c r="G22" s="383">
        <f>E22+F22</f>
        <v>29</v>
      </c>
      <c r="H22" s="384">
        <f t="shared" si="1"/>
        <v>0.21</v>
      </c>
      <c r="I22" s="233">
        <f>' kom 2021'!H424</f>
        <v>210</v>
      </c>
      <c r="J22" s="385">
        <f>' kom 2021'!I424</f>
        <v>105</v>
      </c>
      <c r="K22" s="389" t="s">
        <v>142</v>
      </c>
    </row>
    <row r="23" spans="2:12" ht="18" customHeight="1" x14ac:dyDescent="0.2">
      <c r="B23" s="387">
        <v>14</v>
      </c>
      <c r="C23" s="234" t="s">
        <v>143</v>
      </c>
      <c r="D23" s="393">
        <f>' kom 2021'!C581</f>
        <v>0</v>
      </c>
      <c r="E23" s="385">
        <f>' kom 2021'!D581</f>
        <v>1</v>
      </c>
      <c r="F23" s="385">
        <f>' kom 2021'!E581</f>
        <v>14</v>
      </c>
      <c r="G23" s="383">
        <f>E23+F23</f>
        <v>15</v>
      </c>
      <c r="H23" s="461">
        <f t="shared" si="1"/>
        <v>0.60399999999999998</v>
      </c>
      <c r="I23" s="233">
        <f>' kom 2021'!H581</f>
        <v>604</v>
      </c>
      <c r="J23" s="385">
        <f>' kom 2021'!I581</f>
        <v>119</v>
      </c>
      <c r="K23" s="389" t="s">
        <v>129</v>
      </c>
    </row>
    <row r="24" spans="2:12" ht="18" customHeight="1" x14ac:dyDescent="0.2">
      <c r="B24" s="387">
        <v>15</v>
      </c>
      <c r="C24" s="234" t="s">
        <v>97</v>
      </c>
      <c r="D24" s="382">
        <f>' kom 2021'!C245</f>
        <v>133</v>
      </c>
      <c r="E24" s="385">
        <f>' kom 2021'!D245</f>
        <v>126</v>
      </c>
      <c r="F24" s="399">
        <f>' kom 2021'!E245</f>
        <v>44.8</v>
      </c>
      <c r="G24" s="383">
        <f>D24+E24+F24</f>
        <v>303.8</v>
      </c>
      <c r="H24" s="461">
        <f t="shared" si="1"/>
        <v>47.124000000000002</v>
      </c>
      <c r="I24" s="233">
        <f>' kom 2021'!H245</f>
        <v>374</v>
      </c>
      <c r="J24" s="385">
        <f>' kom 2021'!I245</f>
        <v>835</v>
      </c>
      <c r="K24" s="389" t="s">
        <v>144</v>
      </c>
    </row>
    <row r="25" spans="2:12" ht="18" customHeight="1" x14ac:dyDescent="0.2">
      <c r="B25" s="387">
        <v>16</v>
      </c>
      <c r="C25" s="234" t="s">
        <v>145</v>
      </c>
      <c r="D25" s="382">
        <f>' kom 2021'!C336</f>
        <v>15</v>
      </c>
      <c r="E25" s="399">
        <f>' kom 2021'!D336</f>
        <v>21</v>
      </c>
      <c r="F25" s="399">
        <f>' kom 2021'!E336</f>
        <v>40.299999999999997</v>
      </c>
      <c r="G25" s="383">
        <f>D25+E25+F25</f>
        <v>76.3</v>
      </c>
      <c r="H25" s="461">
        <f t="shared" si="1"/>
        <v>3.1709999999999998</v>
      </c>
      <c r="I25" s="233">
        <f>' kom 2021'!H336</f>
        <v>151</v>
      </c>
      <c r="J25" s="385">
        <f>' kom 2021'!I336</f>
        <v>219</v>
      </c>
      <c r="K25" s="389" t="s">
        <v>137</v>
      </c>
    </row>
    <row r="26" spans="2:12" ht="18" customHeight="1" x14ac:dyDescent="0.2">
      <c r="B26" s="387">
        <v>17</v>
      </c>
      <c r="C26" s="234" t="s">
        <v>146</v>
      </c>
      <c r="D26" s="400" t="s">
        <v>12</v>
      </c>
      <c r="E26" s="397" t="s">
        <v>12</v>
      </c>
      <c r="F26" s="397" t="s">
        <v>12</v>
      </c>
      <c r="G26" s="236" t="s">
        <v>12</v>
      </c>
      <c r="H26" s="398" t="s">
        <v>12</v>
      </c>
      <c r="I26" s="236" t="s">
        <v>12</v>
      </c>
      <c r="J26" s="397" t="s">
        <v>12</v>
      </c>
      <c r="K26" s="389" t="s">
        <v>147</v>
      </c>
    </row>
    <row r="27" spans="2:12" ht="18" customHeight="1" x14ac:dyDescent="0.2">
      <c r="B27" s="387">
        <v>18</v>
      </c>
      <c r="C27" s="234" t="s">
        <v>148</v>
      </c>
      <c r="D27" s="396" t="s">
        <v>12</v>
      </c>
      <c r="E27" s="397" t="s">
        <v>12</v>
      </c>
      <c r="F27" s="397" t="s">
        <v>12</v>
      </c>
      <c r="G27" s="236" t="s">
        <v>12</v>
      </c>
      <c r="H27" s="398" t="s">
        <v>12</v>
      </c>
      <c r="I27" s="236" t="s">
        <v>12</v>
      </c>
      <c r="J27" s="397" t="s">
        <v>12</v>
      </c>
      <c r="K27" s="389" t="s">
        <v>149</v>
      </c>
    </row>
    <row r="28" spans="2:12" ht="18" customHeight="1" x14ac:dyDescent="0.2">
      <c r="B28" s="387">
        <v>19</v>
      </c>
      <c r="C28" s="234" t="s">
        <v>150</v>
      </c>
      <c r="D28" s="382">
        <f>' kom 2021'!C291</f>
        <v>6</v>
      </c>
      <c r="E28" s="399">
        <f>' kom 2021'!D291</f>
        <v>6</v>
      </c>
      <c r="F28" s="397">
        <f>' kom 2021'!E291</f>
        <v>0</v>
      </c>
      <c r="G28" s="383">
        <f>D28</f>
        <v>6</v>
      </c>
      <c r="H28" s="461">
        <f>I28/1000*E28</f>
        <v>1.0979999999999999</v>
      </c>
      <c r="I28" s="233">
        <f>' kom 2021'!H291</f>
        <v>183</v>
      </c>
      <c r="J28" s="385">
        <f>' kom 2021'!I291</f>
        <v>8</v>
      </c>
      <c r="K28" s="389" t="s">
        <v>151</v>
      </c>
    </row>
    <row r="29" spans="2:12" ht="18" customHeight="1" x14ac:dyDescent="0.2">
      <c r="B29" s="387">
        <v>20</v>
      </c>
      <c r="C29" s="234" t="s">
        <v>152</v>
      </c>
      <c r="D29" s="382">
        <f>' kom 2021'!C655</f>
        <v>6</v>
      </c>
      <c r="E29" s="399">
        <f>' kom 2021'!D655</f>
        <v>5</v>
      </c>
      <c r="F29" s="397">
        <f>' kom 2021'!E655</f>
        <v>0</v>
      </c>
      <c r="G29" s="383">
        <f>D29</f>
        <v>6</v>
      </c>
      <c r="H29" s="384">
        <f>I29/1000*E29</f>
        <v>0.4</v>
      </c>
      <c r="I29" s="233">
        <f>' kom 2021'!H655</f>
        <v>80</v>
      </c>
      <c r="J29" s="385">
        <f>' kom 2021'!I655</f>
        <v>22</v>
      </c>
      <c r="K29" s="401" t="s">
        <v>151</v>
      </c>
    </row>
    <row r="30" spans="2:12" ht="18" customHeight="1" x14ac:dyDescent="0.2">
      <c r="B30" s="237">
        <v>21</v>
      </c>
      <c r="C30" s="238" t="s">
        <v>153</v>
      </c>
      <c r="D30" s="239" t="s">
        <v>12</v>
      </c>
      <c r="E30" s="240" t="s">
        <v>12</v>
      </c>
      <c r="F30" s="240" t="s">
        <v>12</v>
      </c>
      <c r="G30" s="241" t="s">
        <v>12</v>
      </c>
      <c r="H30" s="324" t="s">
        <v>12</v>
      </c>
      <c r="I30" s="242" t="s">
        <v>12</v>
      </c>
      <c r="J30" s="240" t="s">
        <v>12</v>
      </c>
      <c r="K30" s="243" t="s">
        <v>129</v>
      </c>
      <c r="L30" s="318"/>
    </row>
    <row r="31" spans="2:12" ht="15" customHeight="1" x14ac:dyDescent="0.2">
      <c r="B31" s="366"/>
      <c r="C31" s="365" t="s">
        <v>13</v>
      </c>
      <c r="D31" s="258">
        <f>SUM(D10:D30)</f>
        <v>7765.5</v>
      </c>
      <c r="E31" s="258">
        <f t="shared" ref="E31:J31" si="2">SUM(E10:E30)</f>
        <v>26574.899999999998</v>
      </c>
      <c r="F31" s="258">
        <f t="shared" si="2"/>
        <v>7138.5</v>
      </c>
      <c r="G31" s="258">
        <f t="shared" si="2"/>
        <v>41463.9</v>
      </c>
      <c r="H31" s="325">
        <f t="shared" si="2"/>
        <v>82272.547600000005</v>
      </c>
      <c r="I31" s="258">
        <f>H31/E31*1000</f>
        <v>3095.8742121325017</v>
      </c>
      <c r="J31" s="258">
        <f t="shared" si="2"/>
        <v>26340</v>
      </c>
      <c r="K31" s="342"/>
    </row>
    <row r="32" spans="2:12" ht="15" customHeight="1" x14ac:dyDescent="0.2">
      <c r="B32" s="367"/>
      <c r="C32" s="361">
        <v>2020</v>
      </c>
      <c r="D32" s="362">
        <v>7708</v>
      </c>
      <c r="E32" s="362">
        <v>26408</v>
      </c>
      <c r="F32" s="362">
        <v>7385</v>
      </c>
      <c r="G32" s="362">
        <v>41490</v>
      </c>
      <c r="H32" s="363">
        <v>81642.33</v>
      </c>
      <c r="I32" s="362">
        <v>3092</v>
      </c>
      <c r="J32" s="362">
        <v>26352</v>
      </c>
      <c r="K32" s="364"/>
    </row>
    <row r="33" spans="2:12" ht="12.75" customHeight="1" x14ac:dyDescent="0.2">
      <c r="B33" s="244"/>
      <c r="C33" s="245">
        <v>2019</v>
      </c>
      <c r="D33" s="256">
        <v>6995</v>
      </c>
      <c r="E33" s="256">
        <v>26412</v>
      </c>
      <c r="F33" s="256">
        <v>8156</v>
      </c>
      <c r="G33" s="246">
        <v>41555</v>
      </c>
      <c r="H33" s="326">
        <v>81667</v>
      </c>
      <c r="I33" s="246">
        <v>3092</v>
      </c>
      <c r="J33" s="246">
        <v>26394</v>
      </c>
      <c r="K33" s="247"/>
    </row>
    <row r="34" spans="2:12" ht="13.5" customHeight="1" x14ac:dyDescent="0.2">
      <c r="B34" s="319"/>
      <c r="C34" s="245">
        <v>2018</v>
      </c>
      <c r="D34" s="256">
        <v>7000</v>
      </c>
      <c r="E34" s="256">
        <v>26407</v>
      </c>
      <c r="F34" s="256">
        <v>8176</v>
      </c>
      <c r="G34" s="246">
        <v>41564</v>
      </c>
      <c r="H34" s="326">
        <v>81688</v>
      </c>
      <c r="I34" s="246">
        <v>3093</v>
      </c>
      <c r="J34" s="246">
        <v>26401</v>
      </c>
      <c r="K34" s="247"/>
    </row>
    <row r="35" spans="2:12" x14ac:dyDescent="0.2">
      <c r="B35" s="248"/>
      <c r="C35" s="77">
        <v>2017</v>
      </c>
      <c r="D35" s="256">
        <v>7000</v>
      </c>
      <c r="E35" s="257">
        <v>26439</v>
      </c>
      <c r="F35" s="257">
        <v>8374</v>
      </c>
      <c r="G35" s="249">
        <v>41649</v>
      </c>
      <c r="H35" s="327">
        <v>81648</v>
      </c>
      <c r="I35" s="249">
        <v>3088</v>
      </c>
      <c r="J35" s="249">
        <v>26916</v>
      </c>
      <c r="K35" s="19"/>
    </row>
    <row r="36" spans="2:12" ht="14.25" x14ac:dyDescent="0.2">
      <c r="B36" s="250"/>
      <c r="C36" s="251">
        <v>2016</v>
      </c>
      <c r="D36" s="256">
        <v>7000</v>
      </c>
      <c r="E36" s="259">
        <v>29357</v>
      </c>
      <c r="F36" s="259">
        <v>7805</v>
      </c>
      <c r="G36" s="259">
        <v>45248</v>
      </c>
      <c r="H36" s="328">
        <v>81432</v>
      </c>
      <c r="I36" s="259">
        <v>2774</v>
      </c>
      <c r="J36" s="259">
        <v>28240</v>
      </c>
      <c r="K36" s="252"/>
    </row>
    <row r="37" spans="2:12" ht="14.25" x14ac:dyDescent="0.2">
      <c r="B37" s="250"/>
      <c r="C37" s="251">
        <v>2015</v>
      </c>
      <c r="D37" s="256">
        <v>7000</v>
      </c>
      <c r="E37" s="259">
        <v>31596</v>
      </c>
      <c r="F37" s="259">
        <v>5062</v>
      </c>
      <c r="G37" s="259">
        <v>44495</v>
      </c>
      <c r="H37" s="328">
        <v>84381</v>
      </c>
      <c r="I37" s="259">
        <v>2671</v>
      </c>
      <c r="J37" s="259">
        <v>27932</v>
      </c>
      <c r="K37" s="252"/>
      <c r="L37" s="262"/>
    </row>
    <row r="38" spans="2:12" ht="14.25" x14ac:dyDescent="0.2">
      <c r="B38" s="250"/>
      <c r="C38" s="251">
        <v>2014</v>
      </c>
      <c r="D38" s="256">
        <v>7000</v>
      </c>
      <c r="E38" s="259">
        <v>31460</v>
      </c>
      <c r="F38" s="259">
        <v>3764</v>
      </c>
      <c r="G38" s="259">
        <v>44551</v>
      </c>
      <c r="H38" s="328">
        <v>82833</v>
      </c>
      <c r="I38" s="259">
        <v>2633</v>
      </c>
      <c r="J38" s="259">
        <v>28175</v>
      </c>
      <c r="K38" s="252"/>
    </row>
    <row r="39" spans="2:12" ht="14.25" x14ac:dyDescent="0.2">
      <c r="B39" s="250"/>
      <c r="C39" s="251">
        <v>2013</v>
      </c>
      <c r="D39" s="256">
        <v>7000</v>
      </c>
      <c r="E39" s="259">
        <v>23706</v>
      </c>
      <c r="F39" s="259">
        <v>2469</v>
      </c>
      <c r="G39" s="259">
        <v>33173</v>
      </c>
      <c r="H39" s="328">
        <v>59782</v>
      </c>
      <c r="I39" s="259">
        <v>2522</v>
      </c>
      <c r="J39" s="259">
        <v>25077</v>
      </c>
      <c r="K39" s="252"/>
    </row>
    <row r="40" spans="2:12" ht="14.25" x14ac:dyDescent="0.2">
      <c r="B40" s="250"/>
      <c r="C40" s="251">
        <v>2012</v>
      </c>
      <c r="D40" s="256">
        <v>7000</v>
      </c>
      <c r="E40" s="259">
        <v>23021</v>
      </c>
      <c r="F40" s="259">
        <v>2527</v>
      </c>
      <c r="G40" s="259">
        <v>32117</v>
      </c>
      <c r="H40" s="328">
        <v>69867</v>
      </c>
      <c r="I40" s="259">
        <v>3035</v>
      </c>
      <c r="J40" s="259">
        <v>24774</v>
      </c>
      <c r="K40" s="252"/>
    </row>
    <row r="41" spans="2:12" ht="14.25" x14ac:dyDescent="0.2">
      <c r="B41" s="250"/>
      <c r="C41" s="251">
        <v>2011</v>
      </c>
      <c r="D41" s="256">
        <v>7000</v>
      </c>
      <c r="E41" s="259">
        <v>22624</v>
      </c>
      <c r="F41" s="259">
        <v>2720</v>
      </c>
      <c r="G41" s="259">
        <v>31888</v>
      </c>
      <c r="H41" s="328">
        <v>53921</v>
      </c>
      <c r="I41" s="259">
        <v>2383</v>
      </c>
      <c r="J41" s="259">
        <v>24395</v>
      </c>
      <c r="K41" s="252"/>
    </row>
    <row r="42" spans="2:12" ht="14.25" x14ac:dyDescent="0.2">
      <c r="B42" s="250"/>
      <c r="C42" s="251">
        <v>2010</v>
      </c>
      <c r="D42" s="256">
        <v>7000</v>
      </c>
      <c r="E42" s="259">
        <v>21901</v>
      </c>
      <c r="F42" s="259">
        <v>2706</v>
      </c>
      <c r="G42" s="259">
        <v>31406</v>
      </c>
      <c r="H42" s="328">
        <v>15875</v>
      </c>
      <c r="I42" s="259">
        <v>725</v>
      </c>
      <c r="J42" s="259">
        <v>23898</v>
      </c>
      <c r="K42" s="252"/>
    </row>
    <row r="43" spans="2:12" ht="14.25" x14ac:dyDescent="0.2">
      <c r="B43" s="250"/>
      <c r="C43" s="251">
        <v>2009</v>
      </c>
      <c r="D43" s="256">
        <v>7000</v>
      </c>
      <c r="E43" s="259">
        <v>21853</v>
      </c>
      <c r="F43" s="259">
        <v>2300</v>
      </c>
      <c r="G43" s="259">
        <v>30846</v>
      </c>
      <c r="H43" s="328">
        <v>50834</v>
      </c>
      <c r="I43" s="259">
        <v>2326</v>
      </c>
      <c r="J43" s="259">
        <v>23870</v>
      </c>
      <c r="K43" s="252"/>
    </row>
    <row r="44" spans="2:12" ht="14.25" x14ac:dyDescent="0.2">
      <c r="B44" s="250"/>
      <c r="C44" s="251">
        <v>2008</v>
      </c>
      <c r="D44" s="256">
        <v>7000</v>
      </c>
      <c r="E44" s="259">
        <v>15610</v>
      </c>
      <c r="F44" s="259">
        <v>2477</v>
      </c>
      <c r="G44" s="259">
        <v>25276</v>
      </c>
      <c r="H44" s="328">
        <v>23068</v>
      </c>
      <c r="I44" s="259">
        <v>1478</v>
      </c>
      <c r="J44" s="259">
        <v>22602</v>
      </c>
      <c r="K44" s="252"/>
    </row>
    <row r="45" spans="2:12" ht="15" thickBot="1" x14ac:dyDescent="0.25">
      <c r="B45" s="253"/>
      <c r="C45" s="254">
        <v>2007</v>
      </c>
      <c r="D45" s="256">
        <v>7000</v>
      </c>
      <c r="E45" s="260">
        <v>15297</v>
      </c>
      <c r="F45" s="260">
        <v>2344</v>
      </c>
      <c r="G45" s="260">
        <v>23495</v>
      </c>
      <c r="H45" s="329">
        <v>93047</v>
      </c>
      <c r="I45" s="260">
        <v>6083</v>
      </c>
      <c r="J45" s="260">
        <v>21414</v>
      </c>
      <c r="K45" s="255"/>
    </row>
    <row r="46" spans="2:12" ht="6.75" customHeight="1" thickTop="1" x14ac:dyDescent="0.2"/>
    <row r="47" spans="2:12" ht="12" customHeight="1" x14ac:dyDescent="0.2">
      <c r="B47" s="45"/>
      <c r="C47" s="261" t="s">
        <v>4</v>
      </c>
      <c r="D47" s="261" t="s">
        <v>154</v>
      </c>
      <c r="E47" s="261"/>
      <c r="F47" s="261"/>
      <c r="G47" s="45"/>
      <c r="H47" s="331"/>
      <c r="I47" s="219"/>
      <c r="J47" s="219"/>
      <c r="K47" s="219"/>
    </row>
    <row r="48" spans="2:12" ht="12" customHeight="1" x14ac:dyDescent="0.2">
      <c r="B48" s="45"/>
      <c r="C48" s="261" t="s">
        <v>5</v>
      </c>
      <c r="D48" s="261" t="s">
        <v>64</v>
      </c>
      <c r="E48" s="261"/>
      <c r="F48" s="261"/>
      <c r="G48" s="45"/>
      <c r="H48" s="331"/>
      <c r="I48" s="219"/>
      <c r="J48" s="219"/>
      <c r="K48" s="219"/>
    </row>
    <row r="49" spans="2:11" x14ac:dyDescent="0.2">
      <c r="B49" s="45"/>
      <c r="C49" s="261" t="s">
        <v>6</v>
      </c>
      <c r="D49" s="261" t="s">
        <v>65</v>
      </c>
      <c r="E49" s="261"/>
      <c r="F49" s="261"/>
      <c r="G49" s="45"/>
      <c r="H49" s="331"/>
      <c r="I49" s="219"/>
      <c r="J49" s="219"/>
      <c r="K49" s="219"/>
    </row>
    <row r="50" spans="2:11" ht="3.75" customHeight="1" x14ac:dyDescent="0.2"/>
    <row r="51" spans="2:11" ht="12.75" customHeight="1" x14ac:dyDescent="0.2">
      <c r="B51" s="412"/>
      <c r="C51" s="412"/>
      <c r="D51" s="412"/>
      <c r="E51" s="412"/>
      <c r="G51" s="125"/>
      <c r="H51" s="411" t="s">
        <v>76</v>
      </c>
      <c r="I51" s="411"/>
      <c r="J51" s="411"/>
      <c r="K51" s="411"/>
    </row>
    <row r="52" spans="2:11" ht="10.5" customHeight="1" x14ac:dyDescent="0.2">
      <c r="B52" s="412"/>
      <c r="C52" s="412"/>
      <c r="D52" s="412"/>
      <c r="E52" s="412"/>
      <c r="G52" s="125"/>
      <c r="H52" s="411" t="s">
        <v>77</v>
      </c>
      <c r="I52" s="411"/>
      <c r="J52" s="411"/>
      <c r="K52" s="411"/>
    </row>
    <row r="53" spans="2:11" ht="9" customHeight="1" x14ac:dyDescent="0.2">
      <c r="B53" s="412"/>
      <c r="C53" s="412"/>
      <c r="D53" s="412"/>
      <c r="E53" s="412"/>
      <c r="G53" s="125"/>
      <c r="H53" s="411"/>
      <c r="I53" s="411"/>
      <c r="J53" s="411"/>
      <c r="K53" s="411"/>
    </row>
    <row r="54" spans="2:11" ht="9" customHeight="1" x14ac:dyDescent="0.2">
      <c r="B54" s="124"/>
      <c r="C54" s="124"/>
      <c r="D54" s="124"/>
      <c r="E54" s="124"/>
      <c r="G54" s="124"/>
      <c r="H54" s="402"/>
      <c r="I54" s="403"/>
      <c r="J54" s="403"/>
      <c r="K54" s="403"/>
    </row>
    <row r="55" spans="2:11" ht="9" customHeight="1" x14ac:dyDescent="0.2">
      <c r="B55" s="124"/>
      <c r="C55" s="124"/>
      <c r="D55" s="124"/>
      <c r="E55" s="124"/>
      <c r="G55" s="124"/>
      <c r="H55" s="402"/>
      <c r="I55" s="403"/>
      <c r="J55" s="403"/>
      <c r="K55" s="403"/>
    </row>
    <row r="56" spans="2:11" ht="26.25" customHeight="1" x14ac:dyDescent="0.25">
      <c r="B56" s="407"/>
      <c r="C56" s="407"/>
      <c r="D56" s="407"/>
      <c r="E56" s="407"/>
      <c r="G56" s="220"/>
      <c r="H56" s="408" t="s">
        <v>78</v>
      </c>
      <c r="I56" s="408"/>
      <c r="J56" s="408"/>
      <c r="K56" s="408"/>
    </row>
    <row r="57" spans="2:11" ht="12" customHeight="1" x14ac:dyDescent="0.2">
      <c r="B57" s="409"/>
      <c r="C57" s="410"/>
      <c r="D57" s="410"/>
      <c r="E57" s="410"/>
      <c r="G57" s="47"/>
      <c r="H57" s="411" t="s">
        <v>98</v>
      </c>
      <c r="I57" s="411"/>
      <c r="J57" s="411"/>
      <c r="K57" s="411"/>
    </row>
  </sheetData>
  <mergeCells count="16">
    <mergeCell ref="B2:K2"/>
    <mergeCell ref="B3:K3"/>
    <mergeCell ref="B4:K4"/>
    <mergeCell ref="B6:B8"/>
    <mergeCell ref="C6:C8"/>
    <mergeCell ref="D6:F6"/>
    <mergeCell ref="B56:E56"/>
    <mergeCell ref="H56:K56"/>
    <mergeCell ref="B57:E57"/>
    <mergeCell ref="H57:K57"/>
    <mergeCell ref="B51:E51"/>
    <mergeCell ref="H51:K51"/>
    <mergeCell ref="B52:E52"/>
    <mergeCell ref="H52:K52"/>
    <mergeCell ref="B53:E53"/>
    <mergeCell ref="H53:K53"/>
  </mergeCells>
  <pageMargins left="0.98425196850393704" right="0.70866141732283472" top="0.31496062992125984" bottom="0.31496062992125984" header="0.31496062992125984" footer="0.31496062992125984"/>
  <pageSetup paperSize="5" scale="8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6"/>
  <sheetViews>
    <sheetView zoomScale="90" zoomScaleNormal="90" workbookViewId="0">
      <selection activeCell="D12" sqref="D12"/>
    </sheetView>
  </sheetViews>
  <sheetFormatPr defaultRowHeight="12.75" x14ac:dyDescent="0.2"/>
  <cols>
    <col min="1" max="1" width="3.28515625" customWidth="1"/>
    <col min="2" max="2" width="5.85546875" customWidth="1"/>
    <col min="3" max="3" width="17.7109375" customWidth="1"/>
    <col min="4" max="4" width="9.7109375" style="289" customWidth="1"/>
    <col min="5" max="5" width="10" style="289" bestFit="1" customWidth="1"/>
    <col min="6" max="6" width="9.7109375" style="289" customWidth="1"/>
    <col min="7" max="7" width="10.85546875" style="289" bestFit="1" customWidth="1"/>
    <col min="8" max="8" width="11" style="289" customWidth="1"/>
    <col min="9" max="9" width="11.85546875" style="289" customWidth="1"/>
    <col min="10" max="10" width="9.85546875" style="273" customWidth="1"/>
    <col min="15" max="15" width="5.7109375" customWidth="1"/>
    <col min="16" max="16" width="18.7109375" customWidth="1"/>
    <col min="17" max="17" width="8.42578125" customWidth="1"/>
    <col min="18" max="18" width="8.7109375" customWidth="1"/>
    <col min="19" max="19" width="8.42578125" customWidth="1"/>
    <col min="21" max="21" width="9.28515625" bestFit="1" customWidth="1"/>
    <col min="22" max="22" width="11.85546875" customWidth="1"/>
    <col min="23" max="23" width="11.5703125" customWidth="1"/>
    <col min="24" max="24" width="7.42578125" customWidth="1"/>
    <col min="25" max="25" width="17.140625" customWidth="1"/>
  </cols>
  <sheetData>
    <row r="1" spans="2:11" ht="24.95" customHeight="1" x14ac:dyDescent="0.2"/>
    <row r="2" spans="2:11" ht="24.95" customHeight="1" x14ac:dyDescent="0.2">
      <c r="B2" s="422" t="s">
        <v>165</v>
      </c>
      <c r="C2" s="422"/>
      <c r="D2" s="422"/>
      <c r="E2" s="422"/>
      <c r="F2" s="422"/>
      <c r="G2" s="422"/>
      <c r="H2" s="422"/>
      <c r="I2" s="422"/>
      <c r="J2" s="422"/>
      <c r="K2" s="422"/>
    </row>
    <row r="3" spans="2:11" ht="24.95" customHeight="1" x14ac:dyDescent="0.2">
      <c r="B3" s="422" t="s">
        <v>53</v>
      </c>
      <c r="C3" s="422"/>
      <c r="D3" s="422"/>
      <c r="E3" s="422"/>
      <c r="F3" s="422"/>
      <c r="G3" s="422"/>
      <c r="H3" s="422"/>
      <c r="I3" s="422"/>
      <c r="J3" s="422"/>
      <c r="K3" s="422"/>
    </row>
    <row r="4" spans="2:11" ht="24.95" customHeight="1" x14ac:dyDescent="0.2">
      <c r="B4" s="422" t="s">
        <v>166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2:11" ht="24.95" customHeight="1" x14ac:dyDescent="0.3">
      <c r="B5" s="43"/>
      <c r="C5" s="43"/>
      <c r="D5" s="274"/>
      <c r="E5" s="274"/>
      <c r="F5" s="274"/>
      <c r="G5" s="274"/>
      <c r="H5" s="274"/>
      <c r="I5" s="274"/>
      <c r="J5" s="272"/>
      <c r="K5" s="43"/>
    </row>
    <row r="6" spans="2:11" ht="24.95" customHeight="1" x14ac:dyDescent="0.2">
      <c r="B6" s="211" t="s">
        <v>37</v>
      </c>
      <c r="C6" s="211"/>
      <c r="D6" s="289" t="s">
        <v>80</v>
      </c>
    </row>
    <row r="7" spans="2:11" ht="24.95" customHeight="1" thickBot="1" x14ac:dyDescent="0.25"/>
    <row r="8" spans="2:11" ht="24.95" customHeight="1" thickTop="1" x14ac:dyDescent="0.2">
      <c r="B8" s="423" t="s">
        <v>2</v>
      </c>
      <c r="C8" s="426" t="s">
        <v>24</v>
      </c>
      <c r="D8" s="429" t="s">
        <v>25</v>
      </c>
      <c r="E8" s="430"/>
      <c r="F8" s="431"/>
      <c r="G8" s="432" t="s">
        <v>7</v>
      </c>
      <c r="H8" s="432" t="s">
        <v>8</v>
      </c>
      <c r="I8" s="432" t="s">
        <v>9</v>
      </c>
      <c r="J8" s="435" t="s">
        <v>10</v>
      </c>
      <c r="K8" s="438" t="s">
        <v>11</v>
      </c>
    </row>
    <row r="9" spans="2:11" ht="24.95" customHeight="1" x14ac:dyDescent="0.2">
      <c r="B9" s="424"/>
      <c r="C9" s="427"/>
      <c r="D9" s="441" t="s">
        <v>4</v>
      </c>
      <c r="E9" s="443" t="s">
        <v>5</v>
      </c>
      <c r="F9" s="445" t="s">
        <v>6</v>
      </c>
      <c r="G9" s="433"/>
      <c r="H9" s="433"/>
      <c r="I9" s="433"/>
      <c r="J9" s="436"/>
      <c r="K9" s="439"/>
    </row>
    <row r="10" spans="2:11" ht="24.75" customHeight="1" thickBot="1" x14ac:dyDescent="0.25">
      <c r="B10" s="425"/>
      <c r="C10" s="428"/>
      <c r="D10" s="442"/>
      <c r="E10" s="444"/>
      <c r="F10" s="446"/>
      <c r="G10" s="434"/>
      <c r="H10" s="434"/>
      <c r="I10" s="434"/>
      <c r="J10" s="437"/>
      <c r="K10" s="440"/>
    </row>
    <row r="11" spans="2:11" ht="24.95" customHeight="1" thickTop="1" thickBot="1" x14ac:dyDescent="0.25">
      <c r="B11" s="108">
        <v>1</v>
      </c>
      <c r="C11" s="109">
        <v>2</v>
      </c>
      <c r="D11" s="275">
        <v>3</v>
      </c>
      <c r="E11" s="275">
        <v>4</v>
      </c>
      <c r="F11" s="275">
        <v>5</v>
      </c>
      <c r="G11" s="275">
        <v>6</v>
      </c>
      <c r="H11" s="275">
        <v>7</v>
      </c>
      <c r="I11" s="275">
        <v>8</v>
      </c>
      <c r="J11" s="109">
        <v>9</v>
      </c>
      <c r="K11" s="110">
        <v>10</v>
      </c>
    </row>
    <row r="12" spans="2:11" ht="24.95" customHeight="1" thickTop="1" x14ac:dyDescent="0.2">
      <c r="B12" s="63">
        <v>1</v>
      </c>
      <c r="C12" s="111" t="s">
        <v>26</v>
      </c>
      <c r="D12" s="276">
        <f>' kom 2021'!C10</f>
        <v>10</v>
      </c>
      <c r="E12" s="276">
        <f>' kom 2021'!D10</f>
        <v>88</v>
      </c>
      <c r="F12" s="277">
        <f>' kom 2021'!E10</f>
        <v>293</v>
      </c>
      <c r="G12" s="276">
        <f>F12+E12+D12</f>
        <v>391</v>
      </c>
      <c r="H12" s="278">
        <f>I12/1000*E12</f>
        <v>79.463999999999999</v>
      </c>
      <c r="I12" s="276">
        <f>' kom 2021'!H10</f>
        <v>903</v>
      </c>
      <c r="J12" s="269">
        <f>' kom 2021'!I10</f>
        <v>528</v>
      </c>
      <c r="K12" s="113"/>
    </row>
    <row r="13" spans="2:11" ht="24.95" customHeight="1" x14ac:dyDescent="0.2">
      <c r="B13" s="57">
        <v>2</v>
      </c>
      <c r="C13" s="112" t="s">
        <v>27</v>
      </c>
      <c r="D13" s="279">
        <f>' kom 2021'!C57</f>
        <v>690</v>
      </c>
      <c r="E13" s="279">
        <f>' kom 2021'!D57</f>
        <v>3314</v>
      </c>
      <c r="F13" s="280">
        <f>' kom 2021'!E57</f>
        <v>1184.5</v>
      </c>
      <c r="G13" s="279">
        <f>F13+E13+D13</f>
        <v>5188.5</v>
      </c>
      <c r="H13" s="279">
        <f>I13/1000*E13</f>
        <v>11453.183999999999</v>
      </c>
      <c r="I13" s="279">
        <f>' kom 2021'!H57</f>
        <v>3456</v>
      </c>
      <c r="J13" s="270">
        <f>' kom 2021'!I57</f>
        <v>1301</v>
      </c>
      <c r="K13" s="114"/>
    </row>
    <row r="14" spans="2:11" ht="24.95" customHeight="1" x14ac:dyDescent="0.2">
      <c r="B14" s="57">
        <v>3</v>
      </c>
      <c r="C14" s="112" t="s">
        <v>28</v>
      </c>
      <c r="D14" s="279">
        <f>' kom 2021'!C187</f>
        <v>4</v>
      </c>
      <c r="E14" s="279">
        <f>' kom 2021'!D187</f>
        <v>15</v>
      </c>
      <c r="F14" s="279">
        <f>' kom 2021'!E187</f>
        <v>80</v>
      </c>
      <c r="G14" s="279">
        <f>F14+E14+D14</f>
        <v>99</v>
      </c>
      <c r="H14" s="279">
        <f>I14/1000*E14</f>
        <v>13.5</v>
      </c>
      <c r="I14" s="279">
        <f>' kom 2021'!H187</f>
        <v>900</v>
      </c>
      <c r="J14" s="270">
        <f>' kom 2021'!I187</f>
        <v>246</v>
      </c>
      <c r="K14" s="115"/>
    </row>
    <row r="15" spans="2:11" ht="24.95" customHeight="1" x14ac:dyDescent="0.2">
      <c r="B15" s="57">
        <v>4</v>
      </c>
      <c r="C15" s="112" t="s">
        <v>29</v>
      </c>
      <c r="D15" s="279" t="str">
        <f>' kom 2021'!C280</f>
        <v>-</v>
      </c>
      <c r="E15" s="279" t="str">
        <f>' kom 2021'!D280</f>
        <v>-</v>
      </c>
      <c r="F15" s="279" t="str">
        <f>' kom 2021'!E280</f>
        <v>-</v>
      </c>
      <c r="G15" s="283" t="s">
        <v>12</v>
      </c>
      <c r="H15" s="283" t="s">
        <v>12</v>
      </c>
      <c r="I15" s="279" t="str">
        <f>' kom 2021'!H280</f>
        <v>-</v>
      </c>
      <c r="J15" s="270" t="str">
        <f>' kom 2021'!I280</f>
        <v>-</v>
      </c>
      <c r="K15" s="115"/>
    </row>
    <row r="16" spans="2:11" ht="24.95" customHeight="1" x14ac:dyDescent="0.2">
      <c r="B16" s="57">
        <v>5</v>
      </c>
      <c r="C16" s="112" t="s">
        <v>30</v>
      </c>
      <c r="D16" s="279" t="str">
        <f>' kom 2021'!C140</f>
        <v>-</v>
      </c>
      <c r="E16" s="279">
        <f>' kom 2021'!D140</f>
        <v>32</v>
      </c>
      <c r="F16" s="279">
        <f>' kom 2021'!E140</f>
        <v>61</v>
      </c>
      <c r="G16" s="279">
        <f>E16+F16</f>
        <v>93</v>
      </c>
      <c r="H16" s="279">
        <f t="shared" ref="H16:H18" si="0">I16/1000*E16</f>
        <v>12.8</v>
      </c>
      <c r="I16" s="279">
        <f>' kom 2021'!H140</f>
        <v>400</v>
      </c>
      <c r="J16" s="270">
        <f>' kom 2021'!I140</f>
        <v>100</v>
      </c>
      <c r="K16" s="115"/>
    </row>
    <row r="17" spans="2:11" ht="24.95" customHeight="1" x14ac:dyDescent="0.2">
      <c r="B17" s="57">
        <v>6</v>
      </c>
      <c r="C17" s="112" t="s">
        <v>31</v>
      </c>
      <c r="D17" s="279">
        <v>0</v>
      </c>
      <c r="E17" s="279">
        <v>0</v>
      </c>
      <c r="F17" s="279">
        <v>0</v>
      </c>
      <c r="G17" s="279">
        <f t="shared" ref="G17:G22" si="1">F17+E17+D17</f>
        <v>0</v>
      </c>
      <c r="H17" s="279">
        <f>I17/1000*E17</f>
        <v>0</v>
      </c>
      <c r="I17" s="279">
        <v>0</v>
      </c>
      <c r="J17" s="270">
        <v>0</v>
      </c>
      <c r="K17" s="115"/>
    </row>
    <row r="18" spans="2:11" ht="24.95" customHeight="1" x14ac:dyDescent="0.2">
      <c r="B18" s="57">
        <v>7</v>
      </c>
      <c r="C18" s="112" t="s">
        <v>32</v>
      </c>
      <c r="D18" s="279">
        <f>' kom 2021'!C95</f>
        <v>3</v>
      </c>
      <c r="E18" s="279">
        <f>' kom 2021'!D95</f>
        <v>25</v>
      </c>
      <c r="F18" s="279">
        <f>' kom 2021'!E95</f>
        <v>93</v>
      </c>
      <c r="G18" s="279">
        <f t="shared" si="1"/>
        <v>121</v>
      </c>
      <c r="H18" s="279">
        <f t="shared" si="0"/>
        <v>21.7</v>
      </c>
      <c r="I18" s="279">
        <f>' kom 2021'!H95</f>
        <v>868</v>
      </c>
      <c r="J18" s="270">
        <f>' kom 2021'!I95</f>
        <v>220</v>
      </c>
      <c r="K18" s="116"/>
    </row>
    <row r="19" spans="2:11" ht="24.95" customHeight="1" x14ac:dyDescent="0.2">
      <c r="B19" s="57">
        <v>8</v>
      </c>
      <c r="C19" s="112" t="s">
        <v>49</v>
      </c>
      <c r="D19" s="279" t="str">
        <f>' kom 2021'!C450</f>
        <v>-</v>
      </c>
      <c r="E19" s="279" t="str">
        <f>' kom 2021'!D450</f>
        <v>-</v>
      </c>
      <c r="F19" s="279" t="str">
        <f>' kom 2021'!E450</f>
        <v>-</v>
      </c>
      <c r="G19" s="279" t="str">
        <f>' kom 2021'!F450</f>
        <v>-</v>
      </c>
      <c r="H19" s="279" t="str">
        <f>' kom 2021'!G450</f>
        <v>-</v>
      </c>
      <c r="I19" s="287" t="str">
        <f>' kom 2021'!H450</f>
        <v>-</v>
      </c>
      <c r="J19" s="270" t="str">
        <f>' kom 2021'!I450</f>
        <v>-</v>
      </c>
      <c r="K19" s="115"/>
    </row>
    <row r="20" spans="2:11" ht="24.95" customHeight="1" x14ac:dyDescent="0.2">
      <c r="B20" s="57">
        <v>9</v>
      </c>
      <c r="C20" s="112" t="s">
        <v>34</v>
      </c>
      <c r="D20" s="279">
        <f>' kom 2021'!C370</f>
        <v>0</v>
      </c>
      <c r="E20" s="279">
        <f>' kom 2021'!D370</f>
        <v>0</v>
      </c>
      <c r="F20" s="279">
        <f>' kom 2021'!E370</f>
        <v>43</v>
      </c>
      <c r="G20" s="279">
        <f>' kom 2021'!F370</f>
        <v>43</v>
      </c>
      <c r="H20" s="279" t="str">
        <f>' kom 2021'!G370</f>
        <v>-</v>
      </c>
      <c r="I20" s="287">
        <f>' kom 2021'!H370</f>
        <v>514</v>
      </c>
      <c r="J20" s="270">
        <f>' kom 2021'!I370</f>
        <v>83</v>
      </c>
      <c r="K20" s="117"/>
    </row>
    <row r="21" spans="2:11" ht="24.95" customHeight="1" x14ac:dyDescent="0.2">
      <c r="B21" s="57">
        <v>10</v>
      </c>
      <c r="C21" s="112" t="s">
        <v>35</v>
      </c>
      <c r="D21" s="279">
        <f>' kom 2021'!C234</f>
        <v>2</v>
      </c>
      <c r="E21" s="279">
        <f>' kom 2021'!D234</f>
        <v>7</v>
      </c>
      <c r="F21" s="279">
        <f>' kom 2021'!E234</f>
        <v>14</v>
      </c>
      <c r="G21" s="279">
        <f>E21+F21+D21</f>
        <v>23</v>
      </c>
      <c r="H21" s="279">
        <f t="shared" ref="H21:H22" si="2">I21/1000*E21</f>
        <v>2.6179999999999999</v>
      </c>
      <c r="I21" s="279">
        <f>' kom 2021'!H234</f>
        <v>374</v>
      </c>
      <c r="J21" s="270">
        <f>' kom 2021'!I234</f>
        <v>31</v>
      </c>
      <c r="K21" s="118"/>
    </row>
    <row r="22" spans="2:11" ht="24.95" customHeight="1" x14ac:dyDescent="0.2">
      <c r="B22" s="57">
        <v>11</v>
      </c>
      <c r="C22" s="112" t="s">
        <v>36</v>
      </c>
      <c r="D22" s="279">
        <f>' kom 2021'!C325</f>
        <v>3</v>
      </c>
      <c r="E22" s="279">
        <f>' kom 2021'!D325</f>
        <v>8</v>
      </c>
      <c r="F22" s="279">
        <f>' kom 2021'!E325</f>
        <v>17</v>
      </c>
      <c r="G22" s="279">
        <f t="shared" si="1"/>
        <v>28</v>
      </c>
      <c r="H22" s="279">
        <f t="shared" si="2"/>
        <v>1.208</v>
      </c>
      <c r="I22" s="279">
        <f>' kom 2021'!H325</f>
        <v>151</v>
      </c>
      <c r="J22" s="270">
        <f>' kom 2021'!I325</f>
        <v>41</v>
      </c>
      <c r="K22" s="115"/>
    </row>
    <row r="23" spans="2:11" ht="24.95" customHeight="1" x14ac:dyDescent="0.2">
      <c r="B23" s="57">
        <v>12</v>
      </c>
      <c r="C23" s="130" t="s">
        <v>86</v>
      </c>
      <c r="D23" s="279" t="str">
        <f>' kom 2021'!C488</f>
        <v>-</v>
      </c>
      <c r="E23" s="279" t="str">
        <f>' kom 2021'!D488</f>
        <v>-</v>
      </c>
      <c r="F23" s="279" t="str">
        <f>' kom 2021'!E488</f>
        <v>-</v>
      </c>
      <c r="G23" s="286" t="s">
        <v>12</v>
      </c>
      <c r="H23" s="286" t="s">
        <v>12</v>
      </c>
      <c r="I23" s="279" t="str">
        <f>' kom 2021'!H488</f>
        <v>-</v>
      </c>
      <c r="J23" s="270" t="str">
        <f>' kom 2021'!I488</f>
        <v>-</v>
      </c>
      <c r="K23" s="117"/>
    </row>
    <row r="24" spans="2:11" ht="24.95" customHeight="1" x14ac:dyDescent="0.2">
      <c r="B24" s="57">
        <v>13</v>
      </c>
      <c r="C24" s="112" t="s">
        <v>87</v>
      </c>
      <c r="D24" s="279">
        <f>' kom 2021'!C519</f>
        <v>0</v>
      </c>
      <c r="E24" s="279">
        <f>' kom 2021'!D519</f>
        <v>0</v>
      </c>
      <c r="F24" s="279">
        <f>' kom 2021'!E519</f>
        <v>0</v>
      </c>
      <c r="G24" s="286" t="s">
        <v>12</v>
      </c>
      <c r="H24" s="286" t="s">
        <v>12</v>
      </c>
      <c r="I24" s="279">
        <f>' kom 2021'!H519</f>
        <v>0</v>
      </c>
      <c r="J24" s="270">
        <f>' kom 2021'!I519</f>
        <v>0</v>
      </c>
      <c r="K24" s="117"/>
    </row>
    <row r="25" spans="2:11" ht="24.95" customHeight="1" x14ac:dyDescent="0.2">
      <c r="B25" s="57">
        <v>14</v>
      </c>
      <c r="C25" s="95" t="s">
        <v>33</v>
      </c>
      <c r="D25" s="279">
        <f>' kom 2021'!C520</f>
        <v>0</v>
      </c>
      <c r="E25" s="279">
        <f>' kom 2021'!D520</f>
        <v>0</v>
      </c>
      <c r="F25" s="279">
        <f>' kom 2021'!E520</f>
        <v>0</v>
      </c>
      <c r="G25" s="286" t="s">
        <v>12</v>
      </c>
      <c r="H25" s="286" t="s">
        <v>12</v>
      </c>
      <c r="I25" s="279">
        <f>' kom 2021'!H520</f>
        <v>0</v>
      </c>
      <c r="J25" s="270">
        <f>' kom 2021'!I520</f>
        <v>0</v>
      </c>
      <c r="K25" s="117"/>
    </row>
    <row r="26" spans="2:11" ht="24.95" customHeight="1" x14ac:dyDescent="0.2">
      <c r="B26" s="57">
        <v>15</v>
      </c>
      <c r="C26" s="95" t="s">
        <v>88</v>
      </c>
      <c r="D26" s="279">
        <f>' kom 2021'!C522</f>
        <v>0</v>
      </c>
      <c r="E26" s="279">
        <f>' kom 2021'!D522</f>
        <v>0</v>
      </c>
      <c r="F26" s="279">
        <f>' kom 2021'!E522</f>
        <v>0</v>
      </c>
      <c r="G26" s="286" t="s">
        <v>12</v>
      </c>
      <c r="H26" s="286" t="s">
        <v>12</v>
      </c>
      <c r="I26" s="279">
        <f>' kom 2021'!H522</f>
        <v>0</v>
      </c>
      <c r="J26" s="270">
        <f>' kom 2021'!I522</f>
        <v>0</v>
      </c>
      <c r="K26" s="117"/>
    </row>
    <row r="27" spans="2:11" ht="24.95" customHeight="1" thickBot="1" x14ac:dyDescent="0.25">
      <c r="B27" s="135">
        <v>16</v>
      </c>
      <c r="C27" s="134" t="s">
        <v>84</v>
      </c>
      <c r="D27" s="290">
        <f>' kom 2021'!C644</f>
        <v>3</v>
      </c>
      <c r="E27" s="290">
        <f>' kom 2021'!D644</f>
        <v>5</v>
      </c>
      <c r="F27" s="290">
        <f>' kom 2021'!E644</f>
        <v>0</v>
      </c>
      <c r="G27" s="290">
        <f>D27</f>
        <v>3</v>
      </c>
      <c r="H27" s="290">
        <f t="shared" ref="H27" si="3">I27/1000*E27</f>
        <v>0.4</v>
      </c>
      <c r="I27" s="290">
        <f>' kom 2021'!H644</f>
        <v>80</v>
      </c>
      <c r="J27" s="291">
        <f>' kom 2021'!I644</f>
        <v>15</v>
      </c>
      <c r="K27" s="42"/>
    </row>
    <row r="28" spans="2:11" ht="15" customHeight="1" thickTop="1" x14ac:dyDescent="0.2">
      <c r="B28" s="451"/>
      <c r="C28" s="451"/>
      <c r="D28" s="292"/>
      <c r="E28" s="293"/>
      <c r="F28" s="292"/>
      <c r="G28" s="293"/>
      <c r="H28" s="293"/>
      <c r="I28" s="294"/>
      <c r="J28" s="295"/>
      <c r="K28" s="22"/>
    </row>
    <row r="29" spans="2:11" ht="22.5" customHeight="1" x14ac:dyDescent="0.2">
      <c r="C29" s="208"/>
      <c r="H29" s="296" t="s">
        <v>4</v>
      </c>
      <c r="I29" s="447" t="s">
        <v>63</v>
      </c>
      <c r="J29" s="447"/>
      <c r="K29" s="447"/>
    </row>
    <row r="30" spans="2:11" ht="21.75" customHeight="1" x14ac:dyDescent="0.2">
      <c r="C30" s="212"/>
      <c r="E30" s="297"/>
      <c r="F30" s="297"/>
      <c r="H30" s="298" t="s">
        <v>5</v>
      </c>
      <c r="I30" s="447" t="s">
        <v>64</v>
      </c>
      <c r="J30" s="447"/>
      <c r="K30" s="447"/>
    </row>
    <row r="31" spans="2:11" ht="22.5" customHeight="1" x14ac:dyDescent="0.2">
      <c r="C31" s="160"/>
      <c r="H31" s="296" t="s">
        <v>6</v>
      </c>
      <c r="I31" s="447" t="s">
        <v>65</v>
      </c>
      <c r="J31" s="447"/>
      <c r="K31" s="447"/>
    </row>
    <row r="32" spans="2:11" ht="24.95" customHeight="1" x14ac:dyDescent="0.2">
      <c r="C32" s="160"/>
      <c r="H32" s="296"/>
    </row>
    <row r="33" spans="2:11" ht="14.25" x14ac:dyDescent="0.2">
      <c r="C33" s="218" t="s">
        <v>102</v>
      </c>
      <c r="D33" s="299"/>
      <c r="E33" s="299"/>
      <c r="F33" s="299"/>
      <c r="H33" s="412" t="s">
        <v>99</v>
      </c>
      <c r="I33" s="412"/>
      <c r="J33" s="412"/>
      <c r="K33" s="412"/>
    </row>
    <row r="34" spans="2:11" ht="14.25" x14ac:dyDescent="0.2">
      <c r="C34" s="125"/>
      <c r="D34" s="299"/>
      <c r="E34" s="299"/>
      <c r="F34" s="299"/>
      <c r="H34" s="412"/>
      <c r="I34" s="412"/>
      <c r="J34" s="412"/>
      <c r="K34" s="412"/>
    </row>
    <row r="35" spans="2:11" ht="14.25" x14ac:dyDescent="0.2">
      <c r="C35" s="412"/>
      <c r="D35" s="412"/>
      <c r="E35" s="412"/>
      <c r="F35" s="412"/>
      <c r="H35" s="412"/>
      <c r="I35" s="412"/>
      <c r="J35" s="412"/>
      <c r="K35" s="412"/>
    </row>
    <row r="36" spans="2:11" ht="14.25" x14ac:dyDescent="0.2">
      <c r="C36" s="124"/>
      <c r="D36" s="299"/>
      <c r="E36" s="299"/>
      <c r="F36" s="299"/>
      <c r="H36" s="299"/>
      <c r="I36" s="299"/>
      <c r="J36" s="300"/>
      <c r="K36" s="124"/>
    </row>
    <row r="37" spans="2:11" ht="14.25" x14ac:dyDescent="0.2">
      <c r="C37" s="124"/>
      <c r="D37" s="299"/>
      <c r="E37" s="299"/>
      <c r="F37" s="299"/>
      <c r="H37" s="299"/>
      <c r="I37" s="299"/>
      <c r="J37" s="300"/>
      <c r="K37" s="124"/>
    </row>
    <row r="38" spans="2:11" ht="18.75" customHeight="1" x14ac:dyDescent="0.25">
      <c r="C38" s="221" t="s">
        <v>103</v>
      </c>
      <c r="D38" s="301"/>
      <c r="E38" s="301"/>
      <c r="F38" s="301"/>
      <c r="H38" s="407" t="s">
        <v>163</v>
      </c>
      <c r="I38" s="407"/>
      <c r="J38" s="407"/>
      <c r="K38" s="407"/>
    </row>
    <row r="39" spans="2:11" x14ac:dyDescent="0.2">
      <c r="C39" s="47"/>
      <c r="H39" s="409" t="s">
        <v>164</v>
      </c>
      <c r="I39" s="410"/>
      <c r="J39" s="410"/>
      <c r="K39" s="410"/>
    </row>
    <row r="40" spans="2:11" ht="167.25" customHeight="1" x14ac:dyDescent="0.2"/>
    <row r="41" spans="2:11" ht="24.75" customHeight="1" x14ac:dyDescent="0.2">
      <c r="J41" s="406"/>
    </row>
    <row r="42" spans="2:11" ht="24.95" customHeight="1" x14ac:dyDescent="0.2">
      <c r="B42" s="422" t="s">
        <v>165</v>
      </c>
      <c r="C42" s="422"/>
      <c r="D42" s="422"/>
      <c r="E42" s="422"/>
      <c r="F42" s="422"/>
      <c r="G42" s="422"/>
      <c r="H42" s="422"/>
      <c r="I42" s="422"/>
      <c r="J42" s="422"/>
      <c r="K42" s="422"/>
    </row>
    <row r="43" spans="2:11" ht="24.95" customHeight="1" x14ac:dyDescent="0.2">
      <c r="B43" s="422" t="s">
        <v>53</v>
      </c>
      <c r="C43" s="422"/>
      <c r="D43" s="422"/>
      <c r="E43" s="422"/>
      <c r="F43" s="422"/>
      <c r="G43" s="422"/>
      <c r="H43" s="422"/>
      <c r="I43" s="422"/>
      <c r="J43" s="422"/>
      <c r="K43" s="422"/>
    </row>
    <row r="44" spans="2:11" ht="24.95" customHeight="1" x14ac:dyDescent="0.2">
      <c r="B44" s="422" t="s">
        <v>166</v>
      </c>
      <c r="C44" s="422"/>
      <c r="D44" s="422"/>
      <c r="E44" s="422"/>
      <c r="F44" s="422"/>
      <c r="G44" s="422"/>
      <c r="H44" s="422"/>
      <c r="I44" s="422"/>
      <c r="J44" s="422"/>
      <c r="K44" s="422"/>
    </row>
    <row r="45" spans="2:11" ht="24.95" customHeight="1" x14ac:dyDescent="0.2">
      <c r="B45" s="213"/>
      <c r="C45" s="213"/>
      <c r="D45" s="274"/>
      <c r="E45" s="274"/>
      <c r="F45" s="274"/>
      <c r="G45" s="274"/>
      <c r="H45" s="274"/>
      <c r="I45" s="274"/>
      <c r="J45" s="272"/>
      <c r="K45" s="213"/>
    </row>
    <row r="46" spans="2:11" ht="24.95" customHeight="1" x14ac:dyDescent="0.2">
      <c r="B46" s="211" t="s">
        <v>37</v>
      </c>
      <c r="C46" s="211"/>
      <c r="D46" s="289" t="s">
        <v>54</v>
      </c>
      <c r="K46" s="211"/>
    </row>
    <row r="47" spans="2:11" ht="24.95" customHeight="1" thickBot="1" x14ac:dyDescent="0.25"/>
    <row r="48" spans="2:11" ht="24.95" customHeight="1" thickTop="1" x14ac:dyDescent="0.2">
      <c r="B48" s="423" t="s">
        <v>2</v>
      </c>
      <c r="C48" s="426" t="s">
        <v>24</v>
      </c>
      <c r="D48" s="429" t="s">
        <v>25</v>
      </c>
      <c r="E48" s="430"/>
      <c r="F48" s="431"/>
      <c r="G48" s="432" t="s">
        <v>7</v>
      </c>
      <c r="H48" s="432" t="s">
        <v>8</v>
      </c>
      <c r="I48" s="432" t="s">
        <v>9</v>
      </c>
      <c r="J48" s="435" t="s">
        <v>10</v>
      </c>
      <c r="K48" s="438" t="s">
        <v>11</v>
      </c>
    </row>
    <row r="49" spans="2:11" ht="4.5" customHeight="1" x14ac:dyDescent="0.2">
      <c r="B49" s="424"/>
      <c r="C49" s="427"/>
      <c r="D49" s="441" t="s">
        <v>4</v>
      </c>
      <c r="E49" s="443" t="s">
        <v>5</v>
      </c>
      <c r="F49" s="445" t="s">
        <v>6</v>
      </c>
      <c r="G49" s="433"/>
      <c r="H49" s="433"/>
      <c r="I49" s="433"/>
      <c r="J49" s="436"/>
      <c r="K49" s="439"/>
    </row>
    <row r="50" spans="2:11" ht="24.95" customHeight="1" thickBot="1" x14ac:dyDescent="0.25">
      <c r="B50" s="425"/>
      <c r="C50" s="428"/>
      <c r="D50" s="442"/>
      <c r="E50" s="444"/>
      <c r="F50" s="446"/>
      <c r="G50" s="434"/>
      <c r="H50" s="434"/>
      <c r="I50" s="434"/>
      <c r="J50" s="437"/>
      <c r="K50" s="440"/>
    </row>
    <row r="51" spans="2:11" ht="24.95" customHeight="1" thickTop="1" thickBot="1" x14ac:dyDescent="0.3">
      <c r="B51" s="5">
        <v>1</v>
      </c>
      <c r="C51" s="6">
        <v>2</v>
      </c>
      <c r="D51" s="275">
        <v>3</v>
      </c>
      <c r="E51" s="275">
        <v>4</v>
      </c>
      <c r="F51" s="275">
        <v>5</v>
      </c>
      <c r="G51" s="275">
        <v>6</v>
      </c>
      <c r="H51" s="275">
        <v>7</v>
      </c>
      <c r="I51" s="275">
        <v>8</v>
      </c>
      <c r="J51" s="109">
        <v>9</v>
      </c>
      <c r="K51" s="7">
        <v>10</v>
      </c>
    </row>
    <row r="52" spans="2:11" ht="24.95" customHeight="1" thickTop="1" x14ac:dyDescent="0.2">
      <c r="B52" s="63">
        <v>1</v>
      </c>
      <c r="C52" s="111" t="s">
        <v>26</v>
      </c>
      <c r="D52" s="281">
        <f>' kom 2021'!C11</f>
        <v>46</v>
      </c>
      <c r="E52" s="281">
        <f>' kom 2021'!D11</f>
        <v>345</v>
      </c>
      <c r="F52" s="284">
        <f>' kom 2021'!E11</f>
        <v>99.4</v>
      </c>
      <c r="G52" s="281">
        <f>F52+E52+D52</f>
        <v>490.4</v>
      </c>
      <c r="H52" s="281">
        <f>I52/1000*E52</f>
        <v>311.53500000000003</v>
      </c>
      <c r="I52" s="281">
        <f>' kom 2021'!H11</f>
        <v>903</v>
      </c>
      <c r="J52" s="271">
        <f>' kom 2021'!I11</f>
        <v>235</v>
      </c>
      <c r="K52" s="32"/>
    </row>
    <row r="53" spans="2:11" ht="24.95" customHeight="1" x14ac:dyDescent="0.2">
      <c r="B53" s="57">
        <v>2</v>
      </c>
      <c r="C53" s="112" t="s">
        <v>27</v>
      </c>
      <c r="D53" s="279">
        <f>' kom 2021'!C58</f>
        <v>558</v>
      </c>
      <c r="E53" s="279">
        <f>' kom 2021'!D58</f>
        <v>2935.6</v>
      </c>
      <c r="F53" s="280">
        <f>' kom 2021'!E58</f>
        <v>440.6</v>
      </c>
      <c r="G53" s="279">
        <f>F53+E53+D53</f>
        <v>3934.2</v>
      </c>
      <c r="H53" s="279">
        <f>I53/1000*E53</f>
        <v>10145.4336</v>
      </c>
      <c r="I53" s="279">
        <f>' kom 2021'!H58</f>
        <v>3456</v>
      </c>
      <c r="J53" s="270">
        <f>' kom 2021'!I58</f>
        <v>1614</v>
      </c>
      <c r="K53" s="14"/>
    </row>
    <row r="54" spans="2:11" ht="24.95" customHeight="1" x14ac:dyDescent="0.2">
      <c r="B54" s="57">
        <v>3</v>
      </c>
      <c r="C54" s="112" t="s">
        <v>28</v>
      </c>
      <c r="D54" s="279">
        <f>' kom 2021'!C188</f>
        <v>1</v>
      </c>
      <c r="E54" s="279">
        <f>' kom 2021'!D188</f>
        <v>14.3</v>
      </c>
      <c r="F54" s="279">
        <f>' kom 2021'!E188</f>
        <v>0.5</v>
      </c>
      <c r="G54" s="279">
        <f t="shared" ref="G54:G62" si="4">F54+E54+D54</f>
        <v>15.8</v>
      </c>
      <c r="H54" s="279">
        <f t="shared" ref="H54:H58" si="5">I54/1000*E54</f>
        <v>12.870000000000001</v>
      </c>
      <c r="I54" s="279">
        <f>' kom 2021'!H188</f>
        <v>900</v>
      </c>
      <c r="J54" s="270">
        <f>' kom 2021'!I188</f>
        <v>147</v>
      </c>
      <c r="K54" s="19"/>
    </row>
    <row r="55" spans="2:11" ht="24.95" customHeight="1" x14ac:dyDescent="0.2">
      <c r="B55" s="57">
        <v>4</v>
      </c>
      <c r="C55" s="112" t="s">
        <v>29</v>
      </c>
      <c r="D55" s="279">
        <v>0</v>
      </c>
      <c r="E55" s="279">
        <v>0</v>
      </c>
      <c r="F55" s="279">
        <v>0</v>
      </c>
      <c r="G55" s="279">
        <f t="shared" si="4"/>
        <v>0</v>
      </c>
      <c r="H55" s="279">
        <f t="shared" si="5"/>
        <v>0</v>
      </c>
      <c r="I55" s="287">
        <v>0</v>
      </c>
      <c r="J55" s="270">
        <v>0</v>
      </c>
      <c r="K55" s="19"/>
    </row>
    <row r="56" spans="2:11" ht="24.95" customHeight="1" x14ac:dyDescent="0.2">
      <c r="B56" s="57">
        <v>5</v>
      </c>
      <c r="C56" s="112" t="s">
        <v>30</v>
      </c>
      <c r="D56" s="279">
        <f>' kom 2021'!C141</f>
        <v>0.4</v>
      </c>
      <c r="E56" s="279">
        <f>' kom 2021'!D141</f>
        <v>8</v>
      </c>
      <c r="F56" s="279">
        <f>' kom 2021'!E141</f>
        <v>14</v>
      </c>
      <c r="G56" s="279">
        <f t="shared" si="4"/>
        <v>22.4</v>
      </c>
      <c r="H56" s="279">
        <f t="shared" si="5"/>
        <v>3.2</v>
      </c>
      <c r="I56" s="279">
        <f>' kom 2021'!H141</f>
        <v>400</v>
      </c>
      <c r="J56" s="270">
        <f>' kom 2021'!I141</f>
        <v>80</v>
      </c>
      <c r="K56" s="19"/>
    </row>
    <row r="57" spans="2:11" ht="24.95" customHeight="1" x14ac:dyDescent="0.2">
      <c r="B57" s="57">
        <v>6</v>
      </c>
      <c r="C57" s="112" t="s">
        <v>31</v>
      </c>
      <c r="D57" s="279">
        <v>0</v>
      </c>
      <c r="E57" s="279">
        <v>0</v>
      </c>
      <c r="F57" s="279">
        <v>0</v>
      </c>
      <c r="G57" s="279">
        <f t="shared" si="4"/>
        <v>0</v>
      </c>
      <c r="H57" s="279">
        <f t="shared" si="5"/>
        <v>0</v>
      </c>
      <c r="I57" s="279">
        <v>0</v>
      </c>
      <c r="J57" s="270">
        <v>0</v>
      </c>
      <c r="K57" s="19"/>
    </row>
    <row r="58" spans="2:11" ht="24.95" customHeight="1" x14ac:dyDescent="0.2">
      <c r="B58" s="57">
        <v>7</v>
      </c>
      <c r="C58" s="112" t="s">
        <v>32</v>
      </c>
      <c r="D58" s="279">
        <f>' kom 2021'!C96</f>
        <v>1</v>
      </c>
      <c r="E58" s="279">
        <f>' kom 2021'!D96</f>
        <v>7</v>
      </c>
      <c r="F58" s="280">
        <f>' kom 2021'!E96</f>
        <v>0</v>
      </c>
      <c r="G58" s="279">
        <f t="shared" si="4"/>
        <v>8</v>
      </c>
      <c r="H58" s="279">
        <f t="shared" si="5"/>
        <v>6.0759999999999996</v>
      </c>
      <c r="I58" s="279">
        <f>' kom 2021'!H96</f>
        <v>868</v>
      </c>
      <c r="J58" s="270">
        <f>' kom 2021'!I96</f>
        <v>66</v>
      </c>
      <c r="K58" s="31"/>
    </row>
    <row r="59" spans="2:11" ht="24.95" customHeight="1" x14ac:dyDescent="0.2">
      <c r="B59" s="57">
        <v>8</v>
      </c>
      <c r="C59" s="112" t="s">
        <v>49</v>
      </c>
      <c r="D59" s="279" t="str">
        <f>' kom 2021'!C451</f>
        <v>-</v>
      </c>
      <c r="E59" s="279" t="str">
        <f>' kom 2021'!D451</f>
        <v>-</v>
      </c>
      <c r="F59" s="279">
        <f>' kom 2021'!E451</f>
        <v>0</v>
      </c>
      <c r="G59" s="279" t="str">
        <f>' kom 2021'!F451</f>
        <v>-</v>
      </c>
      <c r="H59" s="279" t="str">
        <f>' kom 2021'!G451</f>
        <v>-</v>
      </c>
      <c r="I59" s="287" t="str">
        <f>' kom 2021'!H451</f>
        <v>-</v>
      </c>
      <c r="J59" s="270" t="str">
        <f>' kom 2021'!I451</f>
        <v>-</v>
      </c>
      <c r="K59" s="19"/>
    </row>
    <row r="60" spans="2:11" ht="24.95" customHeight="1" x14ac:dyDescent="0.2">
      <c r="B60" s="57">
        <v>9</v>
      </c>
      <c r="C60" s="112" t="s">
        <v>34</v>
      </c>
      <c r="D60" s="279">
        <v>0</v>
      </c>
      <c r="E60" s="279">
        <v>0</v>
      </c>
      <c r="F60" s="279">
        <v>0</v>
      </c>
      <c r="G60" s="279">
        <f t="shared" si="4"/>
        <v>0</v>
      </c>
      <c r="H60" s="279">
        <f t="shared" ref="H60:H62" si="6">I60/1000*E60</f>
        <v>0</v>
      </c>
      <c r="I60" s="279">
        <v>0</v>
      </c>
      <c r="J60" s="270">
        <v>0</v>
      </c>
      <c r="K60" s="19"/>
    </row>
    <row r="61" spans="2:11" ht="24.95" customHeight="1" x14ac:dyDescent="0.2">
      <c r="B61" s="57">
        <v>10</v>
      </c>
      <c r="C61" s="112" t="s">
        <v>35</v>
      </c>
      <c r="D61" s="279">
        <f>' kom 2021'!C235</f>
        <v>30</v>
      </c>
      <c r="E61" s="279">
        <f>' kom 2021'!D235</f>
        <v>4</v>
      </c>
      <c r="F61" s="279">
        <f>' kom 2021'!E235</f>
        <v>0.8</v>
      </c>
      <c r="G61" s="279">
        <f>E61+D61+F61</f>
        <v>34.799999999999997</v>
      </c>
      <c r="H61" s="279">
        <f t="shared" si="6"/>
        <v>1.496</v>
      </c>
      <c r="I61" s="279">
        <f>' kom 2021'!H235</f>
        <v>374</v>
      </c>
      <c r="J61" s="270">
        <f>' kom 2021'!I235</f>
        <v>156</v>
      </c>
      <c r="K61" s="19"/>
    </row>
    <row r="62" spans="2:11" ht="24.95" customHeight="1" x14ac:dyDescent="0.2">
      <c r="B62" s="57">
        <v>11</v>
      </c>
      <c r="C62" s="112" t="s">
        <v>36</v>
      </c>
      <c r="D62" s="283">
        <f>' kom 2021'!C326</f>
        <v>3</v>
      </c>
      <c r="E62" s="279">
        <f>' kom 2021'!D326</f>
        <v>4</v>
      </c>
      <c r="F62" s="279">
        <f>' kom 2021'!E326</f>
        <v>0.3</v>
      </c>
      <c r="G62" s="279">
        <f t="shared" si="4"/>
        <v>7.3</v>
      </c>
      <c r="H62" s="279">
        <f t="shared" si="6"/>
        <v>0.60399999999999998</v>
      </c>
      <c r="I62" s="279">
        <f>' kom 2021'!H326</f>
        <v>151</v>
      </c>
      <c r="J62" s="270">
        <f>' kom 2021'!I326</f>
        <v>34</v>
      </c>
      <c r="K62" s="19"/>
    </row>
    <row r="63" spans="2:11" ht="24.95" customHeight="1" x14ac:dyDescent="0.2">
      <c r="B63" s="57">
        <v>12</v>
      </c>
      <c r="C63" s="130" t="s">
        <v>86</v>
      </c>
      <c r="D63" s="279" t="str">
        <f>' kom 2021'!C652</f>
        <v>-</v>
      </c>
      <c r="E63" s="279" t="str">
        <f>' kom 2021'!D652</f>
        <v>-</v>
      </c>
      <c r="F63" s="279" t="str">
        <f>' kom 2021'!E652</f>
        <v>-</v>
      </c>
      <c r="G63" s="286" t="s">
        <v>12</v>
      </c>
      <c r="H63" s="286" t="s">
        <v>12</v>
      </c>
      <c r="I63" s="279" t="str">
        <f>' kom 2021'!H652</f>
        <v>-</v>
      </c>
      <c r="J63" s="270" t="str">
        <f>' kom 2021'!I652</f>
        <v>-</v>
      </c>
      <c r="K63" s="117"/>
    </row>
    <row r="64" spans="2:11" ht="24.95" customHeight="1" x14ac:dyDescent="0.2">
      <c r="B64" s="57">
        <v>13</v>
      </c>
      <c r="C64" s="112" t="s">
        <v>87</v>
      </c>
      <c r="D64" s="279" t="str">
        <f>' kom 2021'!C653</f>
        <v>-</v>
      </c>
      <c r="E64" s="279" t="str">
        <f>' kom 2021'!D653</f>
        <v>-</v>
      </c>
      <c r="F64" s="279" t="str">
        <f>' kom 2021'!E653</f>
        <v>-</v>
      </c>
      <c r="G64" s="286" t="s">
        <v>12</v>
      </c>
      <c r="H64" s="286" t="s">
        <v>12</v>
      </c>
      <c r="I64" s="279" t="str">
        <f>' kom 2021'!H653</f>
        <v>-</v>
      </c>
      <c r="J64" s="270" t="str">
        <f>' kom 2021'!I653</f>
        <v>-</v>
      </c>
      <c r="K64" s="131"/>
    </row>
    <row r="65" spans="2:11" ht="24.95" customHeight="1" x14ac:dyDescent="0.2">
      <c r="B65" s="57">
        <v>14</v>
      </c>
      <c r="C65" s="95" t="s">
        <v>33</v>
      </c>
      <c r="D65" s="279">
        <f>' kom 2021'!C581</f>
        <v>0</v>
      </c>
      <c r="E65" s="283" t="s">
        <v>12</v>
      </c>
      <c r="F65" s="283" t="s">
        <v>12</v>
      </c>
      <c r="G65" s="286" t="s">
        <v>12</v>
      </c>
      <c r="H65" s="286" t="s">
        <v>12</v>
      </c>
      <c r="I65" s="283" t="s">
        <v>12</v>
      </c>
      <c r="J65" s="302" t="s">
        <v>12</v>
      </c>
      <c r="K65" s="131"/>
    </row>
    <row r="66" spans="2:11" ht="24.95" customHeight="1" x14ac:dyDescent="0.2">
      <c r="B66" s="57">
        <v>15</v>
      </c>
      <c r="C66" s="95" t="s">
        <v>88</v>
      </c>
      <c r="D66" s="279" t="str">
        <f>' kom 2021'!C610</f>
        <v>-</v>
      </c>
      <c r="E66" s="279" t="str">
        <f>' kom 2021'!D610</f>
        <v>-</v>
      </c>
      <c r="F66" s="279" t="str">
        <f>' kom 2021'!E610</f>
        <v>-</v>
      </c>
      <c r="G66" s="286" t="s">
        <v>12</v>
      </c>
      <c r="H66" s="286" t="s">
        <v>12</v>
      </c>
      <c r="I66" s="279">
        <f>' kom 2021'!H582</f>
        <v>0</v>
      </c>
      <c r="J66" s="270" t="str">
        <f>' kom 2021'!I610</f>
        <v>-</v>
      </c>
      <c r="K66" s="131"/>
    </row>
    <row r="67" spans="2:11" ht="24.95" customHeight="1" thickBot="1" x14ac:dyDescent="0.25">
      <c r="B67" s="60">
        <v>16</v>
      </c>
      <c r="C67" s="134" t="s">
        <v>84</v>
      </c>
      <c r="D67" s="288" t="s">
        <v>12</v>
      </c>
      <c r="E67" s="288" t="s">
        <v>12</v>
      </c>
      <c r="F67" s="290">
        <f>' kom 2021'!E644</f>
        <v>0</v>
      </c>
      <c r="G67" s="290" t="str">
        <f>D67</f>
        <v>-</v>
      </c>
      <c r="H67" s="288" t="s">
        <v>12</v>
      </c>
      <c r="I67" s="290">
        <f>' kom 2021'!H384</f>
        <v>0</v>
      </c>
      <c r="J67" s="291">
        <f>' kom 2021'!I384</f>
        <v>0</v>
      </c>
      <c r="K67" s="42"/>
    </row>
    <row r="68" spans="2:11" ht="24.95" customHeight="1" thickTop="1" x14ac:dyDescent="0.2"/>
    <row r="69" spans="2:11" ht="20.25" customHeight="1" x14ac:dyDescent="0.2">
      <c r="H69" s="296" t="s">
        <v>4</v>
      </c>
      <c r="I69" s="421" t="s">
        <v>63</v>
      </c>
      <c r="J69" s="421"/>
      <c r="K69" s="421"/>
    </row>
    <row r="70" spans="2:11" ht="20.25" customHeight="1" x14ac:dyDescent="0.2">
      <c r="H70" s="298" t="s">
        <v>5</v>
      </c>
      <c r="I70" s="421" t="s">
        <v>64</v>
      </c>
      <c r="J70" s="421"/>
      <c r="K70" s="421"/>
    </row>
    <row r="71" spans="2:11" ht="21" customHeight="1" x14ac:dyDescent="0.2">
      <c r="H71" s="296" t="s">
        <v>6</v>
      </c>
      <c r="I71" s="421" t="s">
        <v>65</v>
      </c>
      <c r="J71" s="421"/>
      <c r="K71" s="421"/>
    </row>
    <row r="72" spans="2:11" ht="17.25" customHeight="1" x14ac:dyDescent="0.2">
      <c r="H72" s="448"/>
      <c r="I72" s="448"/>
      <c r="J72" s="448"/>
      <c r="K72" s="448"/>
    </row>
    <row r="73" spans="2:11" ht="24.95" customHeight="1" x14ac:dyDescent="0.2">
      <c r="C73" s="218" t="s">
        <v>102</v>
      </c>
      <c r="D73" s="299"/>
      <c r="E73" s="299"/>
      <c r="F73" s="299"/>
      <c r="H73" s="412" t="s">
        <v>99</v>
      </c>
      <c r="I73" s="412"/>
      <c r="J73" s="412"/>
      <c r="K73" s="412"/>
    </row>
    <row r="74" spans="2:11" ht="10.5" customHeight="1" x14ac:dyDescent="0.2">
      <c r="C74" s="125"/>
      <c r="D74" s="299"/>
      <c r="E74" s="299"/>
      <c r="F74" s="299"/>
      <c r="H74" s="412"/>
      <c r="I74" s="412"/>
      <c r="J74" s="412"/>
      <c r="K74" s="412"/>
    </row>
    <row r="75" spans="2:11" ht="14.25" customHeight="1" x14ac:dyDescent="0.2">
      <c r="C75" s="124"/>
      <c r="D75" s="299"/>
      <c r="E75" s="299"/>
      <c r="F75" s="299"/>
      <c r="H75" s="299"/>
      <c r="I75" s="299"/>
      <c r="J75" s="300"/>
      <c r="K75" s="124"/>
    </row>
    <row r="76" spans="2:11" ht="18" customHeight="1" x14ac:dyDescent="0.2">
      <c r="C76" s="124"/>
      <c r="D76" s="299"/>
      <c r="E76" s="299"/>
      <c r="F76" s="299"/>
      <c r="H76" s="299"/>
      <c r="I76" s="299"/>
      <c r="J76" s="300"/>
      <c r="K76" s="124"/>
    </row>
    <row r="77" spans="2:11" ht="24.95" customHeight="1" x14ac:dyDescent="0.25">
      <c r="C77" s="221" t="s">
        <v>104</v>
      </c>
      <c r="D77" s="301"/>
      <c r="E77" s="301"/>
      <c r="F77" s="301"/>
      <c r="H77" s="407" t="s">
        <v>163</v>
      </c>
      <c r="I77" s="407"/>
      <c r="J77" s="407"/>
      <c r="K77" s="407"/>
    </row>
    <row r="78" spans="2:11" ht="12.75" customHeight="1" x14ac:dyDescent="0.2">
      <c r="C78" s="47"/>
      <c r="H78" s="409" t="s">
        <v>164</v>
      </c>
      <c r="I78" s="410"/>
      <c r="J78" s="410"/>
      <c r="K78" s="410"/>
    </row>
    <row r="79" spans="2:11" ht="219.75" customHeight="1" x14ac:dyDescent="0.2">
      <c r="C79" s="47"/>
      <c r="H79" s="316"/>
      <c r="I79" s="317"/>
      <c r="J79" s="317"/>
      <c r="K79" s="317"/>
    </row>
    <row r="80" spans="2:11" ht="24.75" customHeight="1" x14ac:dyDescent="0.2"/>
    <row r="81" spans="2:11" ht="24.95" customHeight="1" x14ac:dyDescent="0.2">
      <c r="B81" s="422" t="s">
        <v>165</v>
      </c>
      <c r="C81" s="422"/>
      <c r="D81" s="422"/>
      <c r="E81" s="422"/>
      <c r="F81" s="422"/>
      <c r="G81" s="422"/>
      <c r="H81" s="422"/>
      <c r="I81" s="422"/>
      <c r="J81" s="422"/>
      <c r="K81" s="422"/>
    </row>
    <row r="82" spans="2:11" ht="24.95" customHeight="1" x14ac:dyDescent="0.2">
      <c r="B82" s="422" t="s">
        <v>53</v>
      </c>
      <c r="C82" s="422"/>
      <c r="D82" s="422"/>
      <c r="E82" s="422"/>
      <c r="F82" s="422"/>
      <c r="G82" s="422"/>
      <c r="H82" s="422"/>
      <c r="I82" s="422"/>
      <c r="J82" s="422"/>
      <c r="K82" s="422"/>
    </row>
    <row r="83" spans="2:11" ht="24.95" customHeight="1" x14ac:dyDescent="0.2">
      <c r="B83" s="422" t="s">
        <v>166</v>
      </c>
      <c r="C83" s="422"/>
      <c r="D83" s="422"/>
      <c r="E83" s="422"/>
      <c r="F83" s="422"/>
      <c r="G83" s="422"/>
      <c r="H83" s="422"/>
      <c r="I83" s="422"/>
      <c r="J83" s="422"/>
      <c r="K83" s="422"/>
    </row>
    <row r="84" spans="2:11" ht="24.95" customHeight="1" x14ac:dyDescent="0.2">
      <c r="B84" s="213"/>
      <c r="C84" s="213"/>
      <c r="D84" s="274"/>
      <c r="E84" s="274"/>
      <c r="F84" s="274"/>
      <c r="G84" s="274"/>
      <c r="H84" s="274"/>
      <c r="I84" s="274"/>
      <c r="J84" s="272"/>
      <c r="K84" s="213"/>
    </row>
    <row r="85" spans="2:11" ht="24.95" customHeight="1" x14ac:dyDescent="0.2">
      <c r="B85" s="211" t="s">
        <v>37</v>
      </c>
      <c r="C85" s="211"/>
      <c r="D85" s="289" t="s">
        <v>74</v>
      </c>
      <c r="K85" s="211"/>
    </row>
    <row r="86" spans="2:11" ht="24.95" customHeight="1" thickBot="1" x14ac:dyDescent="0.25">
      <c r="B86" s="211"/>
      <c r="C86" s="211"/>
      <c r="K86" s="211"/>
    </row>
    <row r="87" spans="2:11" ht="24.95" customHeight="1" thickTop="1" x14ac:dyDescent="0.2">
      <c r="B87" s="423" t="s">
        <v>2</v>
      </c>
      <c r="C87" s="426" t="s">
        <v>24</v>
      </c>
      <c r="D87" s="429" t="s">
        <v>25</v>
      </c>
      <c r="E87" s="430"/>
      <c r="F87" s="431"/>
      <c r="G87" s="432" t="s">
        <v>7</v>
      </c>
      <c r="H87" s="432" t="s">
        <v>8</v>
      </c>
      <c r="I87" s="432" t="s">
        <v>9</v>
      </c>
      <c r="J87" s="435" t="s">
        <v>10</v>
      </c>
      <c r="K87" s="438" t="s">
        <v>11</v>
      </c>
    </row>
    <row r="88" spans="2:11" ht="24.95" customHeight="1" x14ac:dyDescent="0.2">
      <c r="B88" s="424"/>
      <c r="C88" s="427"/>
      <c r="D88" s="441" t="s">
        <v>4</v>
      </c>
      <c r="E88" s="443" t="s">
        <v>5</v>
      </c>
      <c r="F88" s="445" t="s">
        <v>6</v>
      </c>
      <c r="G88" s="433"/>
      <c r="H88" s="433"/>
      <c r="I88" s="433"/>
      <c r="J88" s="436"/>
      <c r="K88" s="439"/>
    </row>
    <row r="89" spans="2:11" ht="24.95" customHeight="1" thickBot="1" x14ac:dyDescent="0.25">
      <c r="B89" s="425"/>
      <c r="C89" s="428"/>
      <c r="D89" s="442"/>
      <c r="E89" s="444"/>
      <c r="F89" s="446"/>
      <c r="G89" s="434"/>
      <c r="H89" s="434"/>
      <c r="I89" s="434"/>
      <c r="J89" s="437"/>
      <c r="K89" s="440"/>
    </row>
    <row r="90" spans="2:11" ht="24.95" customHeight="1" thickTop="1" thickBot="1" x14ac:dyDescent="0.25">
      <c r="B90" s="108">
        <v>1</v>
      </c>
      <c r="C90" s="109">
        <v>2</v>
      </c>
      <c r="D90" s="275">
        <v>3</v>
      </c>
      <c r="E90" s="275">
        <v>4</v>
      </c>
      <c r="F90" s="275">
        <v>5</v>
      </c>
      <c r="G90" s="275">
        <v>6</v>
      </c>
      <c r="H90" s="275">
        <v>7</v>
      </c>
      <c r="I90" s="275">
        <v>8</v>
      </c>
      <c r="J90" s="109">
        <v>9</v>
      </c>
      <c r="K90" s="110">
        <v>10</v>
      </c>
    </row>
    <row r="91" spans="2:11" ht="24.95" customHeight="1" thickTop="1" x14ac:dyDescent="0.2">
      <c r="B91" s="63">
        <v>1</v>
      </c>
      <c r="C91" s="111" t="s">
        <v>26</v>
      </c>
      <c r="D91" s="281">
        <f>' kom 2021'!C12</f>
        <v>100</v>
      </c>
      <c r="E91" s="281">
        <f>' kom 2021'!D12</f>
        <v>289</v>
      </c>
      <c r="F91" s="284">
        <f>' kom 2021'!E12</f>
        <v>145</v>
      </c>
      <c r="G91" s="281">
        <f>F91+E91+D91</f>
        <v>534</v>
      </c>
      <c r="H91" s="281">
        <f>I91/1000*E91</f>
        <v>260.96699999999998</v>
      </c>
      <c r="I91" s="281">
        <f>' kom 2021'!H12</f>
        <v>903</v>
      </c>
      <c r="J91" s="271">
        <f>' kom 2021'!I12</f>
        <v>514</v>
      </c>
      <c r="K91" s="76"/>
    </row>
    <row r="92" spans="2:11" ht="24.95" customHeight="1" x14ac:dyDescent="0.2">
      <c r="B92" s="57">
        <v>2</v>
      </c>
      <c r="C92" s="112" t="s">
        <v>27</v>
      </c>
      <c r="D92" s="279">
        <f>' kom 2021'!C59</f>
        <v>1043</v>
      </c>
      <c r="E92" s="279">
        <f>' kom 2021'!D59</f>
        <v>1479</v>
      </c>
      <c r="F92" s="282">
        <f>' kom 2021'!E59</f>
        <v>269</v>
      </c>
      <c r="G92" s="281">
        <f>F92+E92+D92</f>
        <v>2791</v>
      </c>
      <c r="H92" s="279">
        <f>I92/1000*E92</f>
        <v>5111.424</v>
      </c>
      <c r="I92" s="279">
        <f>' kom 2021'!H59</f>
        <v>3456</v>
      </c>
      <c r="J92" s="270">
        <f>' kom 2021'!I59</f>
        <v>721</v>
      </c>
      <c r="K92" s="78"/>
    </row>
    <row r="93" spans="2:11" ht="24.95" customHeight="1" x14ac:dyDescent="0.2">
      <c r="B93" s="57">
        <v>3</v>
      </c>
      <c r="C93" s="112" t="s">
        <v>28</v>
      </c>
      <c r="D93" s="279">
        <f>' kom 2021'!C189</f>
        <v>8</v>
      </c>
      <c r="E93" s="283">
        <f>' kom 2021'!D189</f>
        <v>13</v>
      </c>
      <c r="F93" s="279">
        <f>' kom 2021'!E189</f>
        <v>2</v>
      </c>
      <c r="G93" s="279">
        <f t="shared" ref="G93" si="7">F93+E93+D93</f>
        <v>23</v>
      </c>
      <c r="H93" s="279">
        <f>I93/1000*E93</f>
        <v>11.700000000000001</v>
      </c>
      <c r="I93" s="279">
        <f>' kom 2021'!H189</f>
        <v>900</v>
      </c>
      <c r="J93" s="270">
        <f>' kom 2021'!I189</f>
        <v>194</v>
      </c>
      <c r="K93" s="80"/>
    </row>
    <row r="94" spans="2:11" ht="24.95" customHeight="1" x14ac:dyDescent="0.2">
      <c r="B94" s="57">
        <v>4</v>
      </c>
      <c r="C94" s="112" t="s">
        <v>29</v>
      </c>
      <c r="D94" s="279">
        <v>0</v>
      </c>
      <c r="E94" s="279">
        <v>0</v>
      </c>
      <c r="F94" s="279">
        <v>0</v>
      </c>
      <c r="G94" s="279">
        <v>0</v>
      </c>
      <c r="H94" s="279">
        <v>0</v>
      </c>
      <c r="I94" s="287">
        <v>0</v>
      </c>
      <c r="J94" s="270">
        <v>0</v>
      </c>
      <c r="K94" s="80"/>
    </row>
    <row r="95" spans="2:11" ht="24.95" customHeight="1" x14ac:dyDescent="0.2">
      <c r="B95" s="57">
        <v>5</v>
      </c>
      <c r="C95" s="112" t="s">
        <v>30</v>
      </c>
      <c r="D95" s="279">
        <f>' kom 2021'!C142</f>
        <v>4</v>
      </c>
      <c r="E95" s="279">
        <f>' kom 2021'!D142</f>
        <v>9</v>
      </c>
      <c r="F95" s="279">
        <f>' kom 2021'!E142</f>
        <v>10</v>
      </c>
      <c r="G95" s="281">
        <f>F95+E95+D95</f>
        <v>23</v>
      </c>
      <c r="H95" s="279">
        <f>I95/1000*E95</f>
        <v>3.6</v>
      </c>
      <c r="I95" s="279">
        <f>' kom 2021'!H142</f>
        <v>400</v>
      </c>
      <c r="J95" s="270">
        <f>' kom 2021'!I142</f>
        <v>85</v>
      </c>
      <c r="K95" s="80"/>
    </row>
    <row r="96" spans="2:11" ht="24.95" customHeight="1" x14ac:dyDescent="0.2">
      <c r="B96" s="57">
        <v>6</v>
      </c>
      <c r="C96" s="112" t="s">
        <v>31</v>
      </c>
      <c r="D96" s="279">
        <v>0</v>
      </c>
      <c r="E96" s="279">
        <v>0</v>
      </c>
      <c r="F96" s="279">
        <v>0</v>
      </c>
      <c r="G96" s="279">
        <v>0</v>
      </c>
      <c r="H96" s="279">
        <v>0</v>
      </c>
      <c r="I96" s="279">
        <v>0</v>
      </c>
      <c r="J96" s="270">
        <v>0</v>
      </c>
      <c r="K96" s="80"/>
    </row>
    <row r="97" spans="2:11" ht="24.95" customHeight="1" x14ac:dyDescent="0.2">
      <c r="B97" s="57">
        <v>7</v>
      </c>
      <c r="C97" s="112" t="s">
        <v>32</v>
      </c>
      <c r="D97" s="279">
        <f>' kom 2021'!C97</f>
        <v>8</v>
      </c>
      <c r="E97" s="279">
        <f>' kom 2021'!D97</f>
        <v>11</v>
      </c>
      <c r="F97" s="282">
        <f>' kom 2021'!E97</f>
        <v>5</v>
      </c>
      <c r="G97" s="279">
        <f>D97+E97+F97</f>
        <v>24</v>
      </c>
      <c r="H97" s="279">
        <f>I97/1000*E97</f>
        <v>9.548</v>
      </c>
      <c r="I97" s="279">
        <f>' kom 2021'!H97</f>
        <v>868</v>
      </c>
      <c r="J97" s="270">
        <f>' kom 2021'!I97</f>
        <v>120</v>
      </c>
      <c r="K97" s="81"/>
    </row>
    <row r="98" spans="2:11" ht="24.95" customHeight="1" x14ac:dyDescent="0.2">
      <c r="B98" s="57">
        <v>8</v>
      </c>
      <c r="C98" s="112" t="s">
        <v>49</v>
      </c>
      <c r="D98" s="279">
        <f>' kom 2021'!C454</f>
        <v>4</v>
      </c>
      <c r="E98" s="279">
        <f>' kom 2021'!D454</f>
        <v>4</v>
      </c>
      <c r="F98" s="279">
        <f>' kom 2021'!E454</f>
        <v>0</v>
      </c>
      <c r="G98" s="279">
        <f>' kom 2021'!E454</f>
        <v>0</v>
      </c>
      <c r="H98" s="279" t="str">
        <f>' kom 2021'!G456</f>
        <v>-</v>
      </c>
      <c r="I98" s="287">
        <f>' kom 2021'!H454</f>
        <v>500</v>
      </c>
      <c r="J98" s="270">
        <f>' kom 2021'!I454</f>
        <v>14</v>
      </c>
      <c r="K98" s="80"/>
    </row>
    <row r="99" spans="2:11" ht="24.95" customHeight="1" x14ac:dyDescent="0.2">
      <c r="B99" s="57">
        <v>9</v>
      </c>
      <c r="C99" s="112" t="s">
        <v>34</v>
      </c>
      <c r="D99" s="279" t="str">
        <f>' kom 2021'!C372</f>
        <v>-</v>
      </c>
      <c r="E99" s="279">
        <f>' kom 2021'!D372</f>
        <v>10</v>
      </c>
      <c r="F99" s="282">
        <f>' kom 2021'!E372</f>
        <v>2</v>
      </c>
      <c r="G99" s="279">
        <f>F99+E99</f>
        <v>12</v>
      </c>
      <c r="H99" s="279">
        <f>I99/1000*E99</f>
        <v>5.1400000000000006</v>
      </c>
      <c r="I99" s="279">
        <f>' kom 2021'!H372</f>
        <v>514</v>
      </c>
      <c r="J99" s="270">
        <f>' kom 2021'!I372</f>
        <v>25</v>
      </c>
      <c r="K99" s="80"/>
    </row>
    <row r="100" spans="2:11" ht="24.95" customHeight="1" x14ac:dyDescent="0.2">
      <c r="B100" s="57">
        <v>10</v>
      </c>
      <c r="C100" s="112" t="s">
        <v>35</v>
      </c>
      <c r="D100" s="279">
        <v>0</v>
      </c>
      <c r="E100" s="279">
        <f>' kom 2021'!D236</f>
        <v>1</v>
      </c>
      <c r="F100" s="279" t="s">
        <v>12</v>
      </c>
      <c r="G100" s="279">
        <f>E100</f>
        <v>1</v>
      </c>
      <c r="H100" s="279">
        <f>I100/1000*E100</f>
        <v>0.374</v>
      </c>
      <c r="I100" s="287">
        <f>' kom 2021'!H236</f>
        <v>374</v>
      </c>
      <c r="J100" s="270">
        <f>' kom 2021'!I236</f>
        <v>42</v>
      </c>
      <c r="K100" s="80"/>
    </row>
    <row r="101" spans="2:11" ht="24.95" customHeight="1" x14ac:dyDescent="0.2">
      <c r="B101" s="57">
        <v>11</v>
      </c>
      <c r="C101" s="112" t="s">
        <v>36</v>
      </c>
      <c r="D101" s="279">
        <f>' kom 2021'!C327</f>
        <v>8</v>
      </c>
      <c r="E101" s="279">
        <f>' kom 2021'!D327</f>
        <v>6</v>
      </c>
      <c r="F101" s="282">
        <f>' kom 2021'!E327</f>
        <v>10</v>
      </c>
      <c r="G101" s="281">
        <f>F101+E101+D101</f>
        <v>24</v>
      </c>
      <c r="H101" s="279">
        <f>I101/1000*E101</f>
        <v>0.90599999999999992</v>
      </c>
      <c r="I101" s="279">
        <f>' kom 2021'!H327</f>
        <v>151</v>
      </c>
      <c r="J101" s="270">
        <f>' kom 2021'!I327</f>
        <v>110</v>
      </c>
      <c r="K101" s="80"/>
    </row>
    <row r="102" spans="2:11" ht="24.95" customHeight="1" x14ac:dyDescent="0.2">
      <c r="B102" s="57">
        <v>12</v>
      </c>
      <c r="C102" s="130" t="s">
        <v>86</v>
      </c>
      <c r="D102" s="279">
        <f>' kom 2021'!C708</f>
        <v>0</v>
      </c>
      <c r="E102" s="279">
        <f>' kom 2021'!D708</f>
        <v>0</v>
      </c>
      <c r="F102" s="279">
        <f>' kom 2021'!E708</f>
        <v>0</v>
      </c>
      <c r="G102" s="286" t="s">
        <v>12</v>
      </c>
      <c r="H102" s="286" t="s">
        <v>12</v>
      </c>
      <c r="I102" s="279">
        <f>' kom 2021'!H708</f>
        <v>0</v>
      </c>
      <c r="J102" s="270">
        <f>' kom 2021'!I708</f>
        <v>0</v>
      </c>
      <c r="K102" s="117"/>
    </row>
    <row r="103" spans="2:11" ht="24.95" customHeight="1" x14ac:dyDescent="0.2">
      <c r="B103" s="57">
        <v>13</v>
      </c>
      <c r="C103" s="112" t="s">
        <v>87</v>
      </c>
      <c r="D103" s="279" t="str">
        <f>' kom 2021'!C535</f>
        <v>-</v>
      </c>
      <c r="E103" s="279" t="str">
        <f>' kom 2021'!D535</f>
        <v>-</v>
      </c>
      <c r="F103" s="279" t="str">
        <f>' kom 2021'!E535</f>
        <v>-</v>
      </c>
      <c r="G103" s="286" t="s">
        <v>12</v>
      </c>
      <c r="H103" s="286" t="s">
        <v>12</v>
      </c>
      <c r="I103" s="279" t="str">
        <f>' kom 2021'!H535</f>
        <v>-</v>
      </c>
      <c r="J103" s="270" t="str">
        <f>' kom 2021'!I535</f>
        <v>-</v>
      </c>
      <c r="K103" s="80"/>
    </row>
    <row r="104" spans="2:11" ht="24.95" customHeight="1" x14ac:dyDescent="0.2">
      <c r="B104" s="57">
        <v>14</v>
      </c>
      <c r="C104" s="95" t="s">
        <v>33</v>
      </c>
      <c r="D104" s="279" t="str">
        <f>' kom 2021'!C536</f>
        <v>-</v>
      </c>
      <c r="E104" s="279" t="str">
        <f>' kom 2021'!D536</f>
        <v>-</v>
      </c>
      <c r="F104" s="279" t="str">
        <f>' kom 2021'!E536</f>
        <v>-</v>
      </c>
      <c r="G104" s="286" t="s">
        <v>12</v>
      </c>
      <c r="H104" s="286" t="s">
        <v>12</v>
      </c>
      <c r="I104" s="279" t="str">
        <f>' kom 2021'!H536</f>
        <v>-</v>
      </c>
      <c r="J104" s="270" t="str">
        <f>' kom 2021'!I536</f>
        <v>-</v>
      </c>
      <c r="K104" s="80"/>
    </row>
    <row r="105" spans="2:11" ht="24.95" customHeight="1" x14ac:dyDescent="0.2">
      <c r="B105" s="57">
        <v>15</v>
      </c>
      <c r="C105" s="95" t="s">
        <v>88</v>
      </c>
      <c r="D105" s="279" t="str">
        <f>' kom 2021'!C537</f>
        <v>-</v>
      </c>
      <c r="E105" s="283" t="s">
        <v>12</v>
      </c>
      <c r="F105" s="283" t="s">
        <v>12</v>
      </c>
      <c r="G105" s="286" t="s">
        <v>12</v>
      </c>
      <c r="H105" s="286" t="s">
        <v>12</v>
      </c>
      <c r="I105" s="283" t="s">
        <v>12</v>
      </c>
      <c r="J105" s="302" t="s">
        <v>12</v>
      </c>
      <c r="K105" s="80"/>
    </row>
    <row r="106" spans="2:11" ht="24.95" customHeight="1" thickBot="1" x14ac:dyDescent="0.25">
      <c r="B106" s="60">
        <v>16</v>
      </c>
      <c r="C106" s="134" t="s">
        <v>84</v>
      </c>
      <c r="D106" s="288" t="s">
        <v>12</v>
      </c>
      <c r="E106" s="288" t="s">
        <v>12</v>
      </c>
      <c r="F106" s="288" t="s">
        <v>12</v>
      </c>
      <c r="G106" s="288" t="s">
        <v>12</v>
      </c>
      <c r="H106" s="288" t="s">
        <v>12</v>
      </c>
      <c r="I106" s="288" t="s">
        <v>12</v>
      </c>
      <c r="J106" s="303" t="s">
        <v>12</v>
      </c>
      <c r="K106" s="132"/>
    </row>
    <row r="107" spans="2:11" ht="18" customHeight="1" thickTop="1" x14ac:dyDescent="0.2">
      <c r="B107" s="211"/>
      <c r="C107" s="211"/>
      <c r="K107" s="211"/>
    </row>
    <row r="108" spans="2:11" ht="20.25" customHeight="1" x14ac:dyDescent="0.2">
      <c r="B108" s="211"/>
      <c r="C108" s="211"/>
      <c r="H108" s="296" t="s">
        <v>4</v>
      </c>
      <c r="I108" s="421" t="s">
        <v>63</v>
      </c>
      <c r="J108" s="421"/>
      <c r="K108" s="421"/>
    </row>
    <row r="109" spans="2:11" ht="21" customHeight="1" x14ac:dyDescent="0.2">
      <c r="B109" s="211"/>
      <c r="C109" s="211"/>
      <c r="G109" s="297"/>
      <c r="H109" s="298" t="s">
        <v>5</v>
      </c>
      <c r="I109" s="421" t="s">
        <v>64</v>
      </c>
      <c r="J109" s="421"/>
      <c r="K109" s="421"/>
    </row>
    <row r="110" spans="2:11" ht="19.5" customHeight="1" x14ac:dyDescent="0.2">
      <c r="B110" s="211"/>
      <c r="C110" s="211"/>
      <c r="H110" s="296" t="s">
        <v>6</v>
      </c>
      <c r="I110" s="421" t="s">
        <v>65</v>
      </c>
      <c r="J110" s="421"/>
      <c r="K110" s="421"/>
    </row>
    <row r="111" spans="2:11" ht="14.25" customHeight="1" x14ac:dyDescent="0.2">
      <c r="H111" s="410"/>
      <c r="I111" s="410"/>
      <c r="J111" s="410"/>
      <c r="K111" s="410"/>
    </row>
    <row r="112" spans="2:11" ht="24.95" customHeight="1" x14ac:dyDescent="0.2">
      <c r="C112" s="218" t="s">
        <v>102</v>
      </c>
      <c r="D112" s="299"/>
      <c r="E112" s="299"/>
      <c r="F112" s="299"/>
      <c r="H112" s="412" t="s">
        <v>99</v>
      </c>
      <c r="I112" s="412"/>
      <c r="J112" s="412"/>
      <c r="K112" s="412"/>
    </row>
    <row r="113" spans="2:11" ht="24.95" customHeight="1" x14ac:dyDescent="0.2">
      <c r="C113" s="125"/>
      <c r="D113" s="299"/>
      <c r="E113" s="299"/>
      <c r="F113" s="299"/>
      <c r="H113" s="412"/>
      <c r="I113" s="412"/>
      <c r="J113" s="412"/>
      <c r="K113" s="412"/>
    </row>
    <row r="114" spans="2:11" ht="20.25" customHeight="1" x14ac:dyDescent="0.2">
      <c r="C114" s="124"/>
      <c r="D114" s="299"/>
      <c r="E114" s="299"/>
      <c r="F114" s="299"/>
      <c r="H114" s="299"/>
      <c r="I114" s="299"/>
      <c r="J114" s="300"/>
      <c r="K114" s="124"/>
    </row>
    <row r="115" spans="2:11" ht="18" hidden="1" customHeight="1" x14ac:dyDescent="0.2">
      <c r="C115" s="124"/>
      <c r="D115" s="299"/>
      <c r="E115" s="299"/>
      <c r="F115" s="299"/>
      <c r="H115" s="299"/>
      <c r="I115" s="299"/>
      <c r="J115" s="300"/>
      <c r="K115" s="124"/>
    </row>
    <row r="116" spans="2:11" ht="24.95" customHeight="1" x14ac:dyDescent="0.25">
      <c r="C116" s="221" t="s">
        <v>100</v>
      </c>
      <c r="D116" s="301"/>
      <c r="E116" s="301"/>
      <c r="F116" s="301"/>
      <c r="H116" s="407" t="s">
        <v>163</v>
      </c>
      <c r="I116" s="407"/>
      <c r="J116" s="407"/>
      <c r="K116" s="407"/>
    </row>
    <row r="117" spans="2:11" ht="15.75" customHeight="1" x14ac:dyDescent="0.2">
      <c r="C117" s="47"/>
      <c r="H117" s="409" t="s">
        <v>164</v>
      </c>
      <c r="I117" s="410"/>
      <c r="J117" s="410"/>
      <c r="K117" s="410"/>
    </row>
    <row r="118" spans="2:11" ht="197.25" customHeight="1" x14ac:dyDescent="0.2"/>
    <row r="119" spans="2:11" ht="21" customHeight="1" x14ac:dyDescent="0.2">
      <c r="J119" s="406"/>
    </row>
    <row r="120" spans="2:11" ht="24.95" customHeight="1" x14ac:dyDescent="0.2">
      <c r="B120" s="422" t="s">
        <v>165</v>
      </c>
      <c r="C120" s="422"/>
      <c r="D120" s="422"/>
      <c r="E120" s="422"/>
      <c r="F120" s="422"/>
      <c r="G120" s="422"/>
      <c r="H120" s="422"/>
      <c r="I120" s="422"/>
      <c r="J120" s="422"/>
      <c r="K120" s="422"/>
    </row>
    <row r="121" spans="2:11" ht="24.95" customHeight="1" x14ac:dyDescent="0.2">
      <c r="B121" s="422" t="s">
        <v>53</v>
      </c>
      <c r="C121" s="422"/>
      <c r="D121" s="422"/>
      <c r="E121" s="422"/>
      <c r="F121" s="422"/>
      <c r="G121" s="422"/>
      <c r="H121" s="422"/>
      <c r="I121" s="422"/>
      <c r="J121" s="422"/>
      <c r="K121" s="422"/>
    </row>
    <row r="122" spans="2:11" ht="24.95" customHeight="1" x14ac:dyDescent="0.2">
      <c r="B122" s="422" t="s">
        <v>166</v>
      </c>
      <c r="C122" s="422"/>
      <c r="D122" s="422"/>
      <c r="E122" s="422"/>
      <c r="F122" s="422"/>
      <c r="G122" s="422"/>
      <c r="H122" s="422"/>
      <c r="I122" s="422"/>
      <c r="J122" s="422"/>
      <c r="K122" s="422"/>
    </row>
    <row r="123" spans="2:11" ht="24.95" customHeight="1" x14ac:dyDescent="0.3">
      <c r="B123" s="43"/>
      <c r="C123" s="43"/>
      <c r="D123" s="274"/>
      <c r="E123" s="274"/>
      <c r="F123" s="274"/>
      <c r="G123" s="274"/>
      <c r="H123" s="274"/>
      <c r="I123" s="274"/>
      <c r="J123" s="272"/>
      <c r="K123" s="43"/>
    </row>
    <row r="124" spans="2:11" ht="24.95" customHeight="1" x14ac:dyDescent="0.2">
      <c r="B124" t="s">
        <v>37</v>
      </c>
      <c r="D124" s="289" t="s">
        <v>60</v>
      </c>
    </row>
    <row r="125" spans="2:11" ht="24.95" customHeight="1" thickBot="1" x14ac:dyDescent="0.25"/>
    <row r="126" spans="2:11" ht="24.95" customHeight="1" thickTop="1" x14ac:dyDescent="0.2">
      <c r="B126" s="423" t="s">
        <v>2</v>
      </c>
      <c r="C126" s="426" t="s">
        <v>24</v>
      </c>
      <c r="D126" s="429" t="s">
        <v>25</v>
      </c>
      <c r="E126" s="430"/>
      <c r="F126" s="431"/>
      <c r="G126" s="432" t="s">
        <v>7</v>
      </c>
      <c r="H126" s="432" t="s">
        <v>8</v>
      </c>
      <c r="I126" s="432" t="s">
        <v>9</v>
      </c>
      <c r="J126" s="435" t="s">
        <v>10</v>
      </c>
      <c r="K126" s="438" t="s">
        <v>11</v>
      </c>
    </row>
    <row r="127" spans="2:11" ht="24.95" customHeight="1" x14ac:dyDescent="0.2">
      <c r="B127" s="424"/>
      <c r="C127" s="427"/>
      <c r="D127" s="441" t="s">
        <v>4</v>
      </c>
      <c r="E127" s="443" t="s">
        <v>5</v>
      </c>
      <c r="F127" s="445" t="s">
        <v>6</v>
      </c>
      <c r="G127" s="433"/>
      <c r="H127" s="433"/>
      <c r="I127" s="433"/>
      <c r="J127" s="436"/>
      <c r="K127" s="439"/>
    </row>
    <row r="128" spans="2:11" ht="24.95" customHeight="1" thickBot="1" x14ac:dyDescent="0.25">
      <c r="B128" s="425"/>
      <c r="C128" s="428"/>
      <c r="D128" s="442"/>
      <c r="E128" s="444"/>
      <c r="F128" s="446"/>
      <c r="G128" s="434"/>
      <c r="H128" s="434"/>
      <c r="I128" s="434"/>
      <c r="J128" s="437"/>
      <c r="K128" s="440"/>
    </row>
    <row r="129" spans="2:11" ht="24.95" customHeight="1" thickTop="1" thickBot="1" x14ac:dyDescent="0.3">
      <c r="B129" s="5">
        <v>1</v>
      </c>
      <c r="C129" s="6">
        <v>2</v>
      </c>
      <c r="D129" s="275">
        <v>3</v>
      </c>
      <c r="E129" s="275">
        <v>4</v>
      </c>
      <c r="F129" s="275">
        <v>5</v>
      </c>
      <c r="G129" s="275">
        <v>6</v>
      </c>
      <c r="H129" s="275">
        <v>7</v>
      </c>
      <c r="I129" s="275">
        <v>8</v>
      </c>
      <c r="J129" s="109">
        <v>9</v>
      </c>
      <c r="K129" s="7">
        <v>10</v>
      </c>
    </row>
    <row r="130" spans="2:11" ht="24.95" customHeight="1" thickTop="1" x14ac:dyDescent="0.2">
      <c r="B130" s="63">
        <v>1</v>
      </c>
      <c r="C130" s="111" t="s">
        <v>26</v>
      </c>
      <c r="D130" s="281">
        <f>' kom 2021'!C13</f>
        <v>24</v>
      </c>
      <c r="E130" s="281">
        <f>' kom 2021'!D13</f>
        <v>102</v>
      </c>
      <c r="F130" s="284">
        <f>' kom 2021'!E13</f>
        <v>92</v>
      </c>
      <c r="G130" s="281">
        <f>F130+E130+D130</f>
        <v>218</v>
      </c>
      <c r="H130" s="281">
        <f>I130/1000*E130</f>
        <v>92.106000000000009</v>
      </c>
      <c r="I130" s="281">
        <f>' kom 2021'!H13</f>
        <v>903</v>
      </c>
      <c r="J130" s="85">
        <f>' kom 2021'!I13</f>
        <v>236</v>
      </c>
      <c r="K130" s="32"/>
    </row>
    <row r="131" spans="2:11" ht="24.95" customHeight="1" x14ac:dyDescent="0.2">
      <c r="B131" s="57">
        <v>2</v>
      </c>
      <c r="C131" s="112" t="s">
        <v>27</v>
      </c>
      <c r="D131" s="279">
        <f>' kom 2021'!C60</f>
        <v>1446.5</v>
      </c>
      <c r="E131" s="279">
        <f>' kom 2021'!D60</f>
        <v>2711</v>
      </c>
      <c r="F131" s="280">
        <f>' kom 2021'!E60</f>
        <v>100.5</v>
      </c>
      <c r="G131" s="279">
        <f>F131+E131+D131</f>
        <v>4258</v>
      </c>
      <c r="H131" s="279">
        <f>I131/1000*E131</f>
        <v>9369.2160000000003</v>
      </c>
      <c r="I131" s="279">
        <f>' kom 2021'!H60</f>
        <v>3456</v>
      </c>
      <c r="J131" s="70">
        <f>' kom 2021'!I60</f>
        <v>1365</v>
      </c>
      <c r="K131" s="24"/>
    </row>
    <row r="132" spans="2:11" ht="24.95" customHeight="1" x14ac:dyDescent="0.2">
      <c r="B132" s="57">
        <v>3</v>
      </c>
      <c r="C132" s="112" t="s">
        <v>28</v>
      </c>
      <c r="D132" s="283">
        <f>' kom 2021'!C190</f>
        <v>7</v>
      </c>
      <c r="E132" s="279">
        <f>' kom 2021'!D190</f>
        <v>31</v>
      </c>
      <c r="F132" s="282">
        <f>' kom 2021'!E190</f>
        <v>28</v>
      </c>
      <c r="G132" s="279">
        <f t="shared" ref="G132" si="8">F132+E132+D132</f>
        <v>66</v>
      </c>
      <c r="H132" s="279">
        <f t="shared" ref="H132:H136" si="9">I132/1000*E132</f>
        <v>27.900000000000002</v>
      </c>
      <c r="I132" s="279">
        <f>' kom 2021'!H190</f>
        <v>900</v>
      </c>
      <c r="J132" s="79">
        <f>' kom 2021'!I190</f>
        <v>779</v>
      </c>
      <c r="K132" s="19"/>
    </row>
    <row r="133" spans="2:11" ht="24.95" customHeight="1" x14ac:dyDescent="0.2">
      <c r="B133" s="57">
        <v>4</v>
      </c>
      <c r="C133" s="112" t="s">
        <v>29</v>
      </c>
      <c r="D133" s="279">
        <v>0</v>
      </c>
      <c r="E133" s="283">
        <v>0</v>
      </c>
      <c r="F133" s="304" t="s">
        <v>12</v>
      </c>
      <c r="G133" s="286" t="s">
        <v>12</v>
      </c>
      <c r="H133" s="279">
        <f t="shared" si="9"/>
        <v>0</v>
      </c>
      <c r="I133" s="287">
        <v>0</v>
      </c>
      <c r="J133" s="79">
        <v>0</v>
      </c>
      <c r="K133" s="19"/>
    </row>
    <row r="134" spans="2:11" ht="24.95" customHeight="1" x14ac:dyDescent="0.2">
      <c r="B134" s="57">
        <v>5</v>
      </c>
      <c r="C134" s="112" t="s">
        <v>30</v>
      </c>
      <c r="D134" s="279">
        <f>' kom 2021'!C143</f>
        <v>1</v>
      </c>
      <c r="E134" s="279">
        <f>' kom 2021'!D143</f>
        <v>43</v>
      </c>
      <c r="F134" s="279">
        <f>' kom 2021'!E143</f>
        <v>40</v>
      </c>
      <c r="G134" s="279">
        <f>E134+F134+D134</f>
        <v>84</v>
      </c>
      <c r="H134" s="279">
        <f t="shared" si="9"/>
        <v>17.2</v>
      </c>
      <c r="I134" s="279">
        <f>' kom 2021'!H142</f>
        <v>400</v>
      </c>
      <c r="J134" s="79">
        <f>' kom 2021'!I143</f>
        <v>235</v>
      </c>
      <c r="K134" s="19"/>
    </row>
    <row r="135" spans="2:11" ht="24.95" customHeight="1" x14ac:dyDescent="0.2">
      <c r="B135" s="57">
        <v>6</v>
      </c>
      <c r="C135" s="112" t="s">
        <v>31</v>
      </c>
      <c r="D135" s="279" t="str">
        <f>' kom 2021'!C416</f>
        <v>-</v>
      </c>
      <c r="E135" s="279" t="str">
        <f>' kom 2021'!D416</f>
        <v>-</v>
      </c>
      <c r="F135" s="280" t="str">
        <f>' kom 2021'!E416</f>
        <v>-</v>
      </c>
      <c r="G135" s="279" t="str">
        <f>F135</f>
        <v>-</v>
      </c>
      <c r="H135" s="283" t="s">
        <v>12</v>
      </c>
      <c r="I135" s="279">
        <f>' kom 2021'!H415</f>
        <v>0</v>
      </c>
      <c r="J135" s="79">
        <f>' kom 2021'!I416</f>
        <v>0</v>
      </c>
      <c r="K135" s="19"/>
    </row>
    <row r="136" spans="2:11" ht="24.95" customHeight="1" x14ac:dyDescent="0.2">
      <c r="B136" s="57">
        <v>7</v>
      </c>
      <c r="C136" s="112" t="s">
        <v>32</v>
      </c>
      <c r="D136" s="279">
        <f>' kom 2021'!C98</f>
        <v>4</v>
      </c>
      <c r="E136" s="283">
        <f>' kom 2021'!D98</f>
        <v>24</v>
      </c>
      <c r="F136" s="280">
        <f>' kom 2021'!E98</f>
        <v>19</v>
      </c>
      <c r="G136" s="279">
        <f t="shared" ref="G136" si="10">F136+E136+D136</f>
        <v>47</v>
      </c>
      <c r="H136" s="279">
        <f t="shared" si="9"/>
        <v>20.832000000000001</v>
      </c>
      <c r="I136" s="279">
        <f>' kom 2021'!H98</f>
        <v>868</v>
      </c>
      <c r="J136" s="79">
        <f>' kom 2021'!I98</f>
        <v>190</v>
      </c>
      <c r="K136" s="32"/>
    </row>
    <row r="137" spans="2:11" ht="24.95" customHeight="1" x14ac:dyDescent="0.2">
      <c r="B137" s="57">
        <v>8</v>
      </c>
      <c r="C137" s="112" t="s">
        <v>49</v>
      </c>
      <c r="D137" s="279" t="str">
        <f>' kom 2021'!C452</f>
        <v>-</v>
      </c>
      <c r="E137" s="279" t="str">
        <f>' kom 2021'!D452</f>
        <v>-</v>
      </c>
      <c r="F137" s="282" t="s">
        <v>12</v>
      </c>
      <c r="G137" s="286" t="s">
        <v>12</v>
      </c>
      <c r="H137" s="279" t="str">
        <f>' kom 2021'!G452</f>
        <v>-</v>
      </c>
      <c r="I137" s="287" t="str">
        <f>' kom 2021'!H452</f>
        <v>-</v>
      </c>
      <c r="J137" s="79" t="str">
        <f>' kom 2021'!I452</f>
        <v>-</v>
      </c>
      <c r="K137" s="19"/>
    </row>
    <row r="138" spans="2:11" ht="24.95" customHeight="1" x14ac:dyDescent="0.2">
      <c r="B138" s="57">
        <v>9</v>
      </c>
      <c r="C138" s="112" t="s">
        <v>34</v>
      </c>
      <c r="D138" s="279">
        <f>' kom 2021'!C373</f>
        <v>0</v>
      </c>
      <c r="E138" s="279">
        <f>' kom 2021'!D373</f>
        <v>0</v>
      </c>
      <c r="F138" s="279">
        <f>' kom 2021'!E373</f>
        <v>0</v>
      </c>
      <c r="G138" s="279">
        <f>F138+E138+D138</f>
        <v>0</v>
      </c>
      <c r="H138" s="279">
        <f t="shared" ref="H138" si="11">I138/1000*E138</f>
        <v>0</v>
      </c>
      <c r="I138" s="279">
        <f>' kom 2021'!H373</f>
        <v>0</v>
      </c>
      <c r="J138" s="79">
        <f>' kom 2021'!I373</f>
        <v>0</v>
      </c>
      <c r="K138" s="19"/>
    </row>
    <row r="139" spans="2:11" ht="24.95" customHeight="1" x14ac:dyDescent="0.2">
      <c r="B139" s="57">
        <v>10</v>
      </c>
      <c r="C139" s="112" t="s">
        <v>35</v>
      </c>
      <c r="D139" s="279" t="str">
        <f>' kom 2021'!C236</f>
        <v>-</v>
      </c>
      <c r="E139" s="286" t="s">
        <v>12</v>
      </c>
      <c r="F139" s="279" t="str">
        <f>' kom 2021'!E236</f>
        <v>-</v>
      </c>
      <c r="G139" s="286" t="s">
        <v>12</v>
      </c>
      <c r="H139" s="286" t="s">
        <v>12</v>
      </c>
      <c r="I139" s="286" t="s">
        <v>12</v>
      </c>
      <c r="J139" s="102" t="s">
        <v>12</v>
      </c>
      <c r="K139" s="18"/>
    </row>
    <row r="140" spans="2:11" ht="24.95" customHeight="1" x14ac:dyDescent="0.2">
      <c r="B140" s="57">
        <v>11</v>
      </c>
      <c r="C140" s="112" t="s">
        <v>36</v>
      </c>
      <c r="D140" s="279" t="str">
        <f>' kom 2021'!C328</f>
        <v>-</v>
      </c>
      <c r="E140" s="279" t="str">
        <f>' kom 2021'!D328</f>
        <v>-</v>
      </c>
      <c r="F140" s="279" t="str">
        <f>' kom 2021'!E328</f>
        <v>-</v>
      </c>
      <c r="G140" s="283" t="s">
        <v>12</v>
      </c>
      <c r="H140" s="283" t="s">
        <v>12</v>
      </c>
      <c r="I140" s="279" t="str">
        <f>' kom 2021'!H328</f>
        <v>-</v>
      </c>
      <c r="J140" s="79" t="str">
        <f>' kom 2021'!I328</f>
        <v>-</v>
      </c>
      <c r="K140" s="19"/>
    </row>
    <row r="141" spans="2:11" ht="24.95" customHeight="1" x14ac:dyDescent="0.2">
      <c r="B141" s="57">
        <v>12</v>
      </c>
      <c r="C141" s="130" t="s">
        <v>86</v>
      </c>
      <c r="D141" s="279">
        <f>' kom 2021'!C767</f>
        <v>0</v>
      </c>
      <c r="E141" s="279">
        <f>' kom 2021'!D767</f>
        <v>0</v>
      </c>
      <c r="F141" s="279">
        <f>' kom 2021'!E767</f>
        <v>0</v>
      </c>
      <c r="G141" s="286" t="s">
        <v>12</v>
      </c>
      <c r="H141" s="286" t="s">
        <v>12</v>
      </c>
      <c r="I141" s="279">
        <f>' kom 2021'!H767</f>
        <v>0</v>
      </c>
      <c r="J141" s="70">
        <f>' kom 2021'!I767</f>
        <v>0</v>
      </c>
      <c r="K141" s="117"/>
    </row>
    <row r="142" spans="2:11" ht="24.95" customHeight="1" x14ac:dyDescent="0.2">
      <c r="B142" s="57">
        <v>13</v>
      </c>
      <c r="C142" s="112" t="s">
        <v>87</v>
      </c>
      <c r="D142" s="279">
        <f>' kom 2021'!C768</f>
        <v>0</v>
      </c>
      <c r="E142" s="279">
        <f>' kom 2021'!D768</f>
        <v>0</v>
      </c>
      <c r="F142" s="279">
        <f>' kom 2021'!E768</f>
        <v>0</v>
      </c>
      <c r="G142" s="286" t="s">
        <v>12</v>
      </c>
      <c r="H142" s="286" t="s">
        <v>12</v>
      </c>
      <c r="I142" s="279">
        <f>' kom 2021'!H768</f>
        <v>0</v>
      </c>
      <c r="J142" s="70">
        <f>' kom 2021'!I768</f>
        <v>0</v>
      </c>
      <c r="K142" s="19"/>
    </row>
    <row r="143" spans="2:11" ht="24.95" customHeight="1" x14ac:dyDescent="0.2">
      <c r="B143" s="57">
        <v>14</v>
      </c>
      <c r="C143" s="95" t="s">
        <v>33</v>
      </c>
      <c r="D143" s="279" t="str">
        <f>' kom 2021'!C573</f>
        <v>-</v>
      </c>
      <c r="E143" s="279">
        <f>' kom 2021'!D573</f>
        <v>1</v>
      </c>
      <c r="F143" s="279">
        <f>' kom 2021'!E573</f>
        <v>1</v>
      </c>
      <c r="G143" s="286">
        <f>F143+E143</f>
        <v>2</v>
      </c>
      <c r="H143" s="279">
        <f t="shared" ref="H143:H144" si="12">I143/1000*E143</f>
        <v>0.60399999999999998</v>
      </c>
      <c r="I143" s="279">
        <f>' kom 2021'!H573</f>
        <v>604</v>
      </c>
      <c r="J143" s="70">
        <f>' kom 2021'!I573</f>
        <v>22</v>
      </c>
      <c r="K143" s="19"/>
    </row>
    <row r="144" spans="2:11" ht="24.95" customHeight="1" x14ac:dyDescent="0.2">
      <c r="B144" s="57">
        <v>15</v>
      </c>
      <c r="C144" s="95" t="s">
        <v>88</v>
      </c>
      <c r="D144" s="340">
        <f>' kom 2021'!C612</f>
        <v>1.5</v>
      </c>
      <c r="E144" s="340">
        <f>' kom 2021'!D612</f>
        <v>0.5</v>
      </c>
      <c r="F144" s="340">
        <f>' kom 2021'!E612</f>
        <v>0.5</v>
      </c>
      <c r="G144" s="340">
        <f>' kom 2021'!F612</f>
        <v>2.5</v>
      </c>
      <c r="H144" s="279">
        <f t="shared" si="12"/>
        <v>0.33</v>
      </c>
      <c r="I144" s="279">
        <f>' kom 2021'!H612</f>
        <v>660</v>
      </c>
      <c r="J144" s="70">
        <f>' kom 2021'!I612</f>
        <v>13</v>
      </c>
      <c r="K144" s="19"/>
    </row>
    <row r="145" spans="2:11" ht="24.95" customHeight="1" thickBot="1" x14ac:dyDescent="0.25">
      <c r="B145" s="60">
        <v>16</v>
      </c>
      <c r="C145" s="134" t="s">
        <v>84</v>
      </c>
      <c r="D145" s="288" t="s">
        <v>12</v>
      </c>
      <c r="E145" s="288" t="s">
        <v>12</v>
      </c>
      <c r="F145" s="288" t="s">
        <v>12</v>
      </c>
      <c r="G145" s="288" t="s">
        <v>12</v>
      </c>
      <c r="H145" s="288" t="s">
        <v>12</v>
      </c>
      <c r="I145" s="288" t="s">
        <v>12</v>
      </c>
      <c r="J145" s="141" t="s">
        <v>12</v>
      </c>
      <c r="K145" s="42"/>
    </row>
    <row r="146" spans="2:11" ht="24.95" customHeight="1" thickTop="1" x14ac:dyDescent="0.2"/>
    <row r="147" spans="2:11" ht="19.5" customHeight="1" x14ac:dyDescent="0.2">
      <c r="H147" s="296" t="s">
        <v>4</v>
      </c>
      <c r="I147" s="421" t="s">
        <v>63</v>
      </c>
      <c r="J147" s="421"/>
      <c r="K147" s="421"/>
    </row>
    <row r="148" spans="2:11" ht="19.5" customHeight="1" x14ac:dyDescent="0.2">
      <c r="H148" s="298" t="s">
        <v>5</v>
      </c>
      <c r="I148" s="421" t="s">
        <v>64</v>
      </c>
      <c r="J148" s="421"/>
      <c r="K148" s="421"/>
    </row>
    <row r="149" spans="2:11" ht="19.5" customHeight="1" x14ac:dyDescent="0.2">
      <c r="H149" s="296" t="s">
        <v>6</v>
      </c>
      <c r="I149" s="421" t="s">
        <v>65</v>
      </c>
      <c r="J149" s="421"/>
      <c r="K149" s="421"/>
    </row>
    <row r="150" spans="2:11" ht="11.25" customHeight="1" x14ac:dyDescent="0.2">
      <c r="H150" s="410"/>
      <c r="I150" s="410"/>
      <c r="J150" s="410"/>
      <c r="K150" s="410"/>
    </row>
    <row r="151" spans="2:11" ht="24.95" customHeight="1" x14ac:dyDescent="0.2">
      <c r="C151" s="218" t="s">
        <v>102</v>
      </c>
      <c r="D151" s="299"/>
      <c r="E151" s="299"/>
      <c r="F151" s="299"/>
      <c r="H151" s="412" t="s">
        <v>99</v>
      </c>
      <c r="I151" s="412"/>
      <c r="J151" s="412"/>
      <c r="K151" s="412"/>
    </row>
    <row r="152" spans="2:11" ht="24.95" customHeight="1" x14ac:dyDescent="0.2">
      <c r="C152" s="125"/>
      <c r="D152" s="299"/>
      <c r="E152" s="299"/>
      <c r="F152" s="299"/>
      <c r="H152" s="412"/>
      <c r="I152" s="412"/>
      <c r="J152" s="412"/>
      <c r="K152" s="412"/>
    </row>
    <row r="153" spans="2:11" ht="17.25" customHeight="1" x14ac:dyDescent="0.2">
      <c r="C153" s="124"/>
      <c r="D153" s="299"/>
      <c r="E153" s="299"/>
      <c r="F153" s="299"/>
      <c r="H153" s="299"/>
      <c r="I153" s="299"/>
      <c r="J153" s="300"/>
      <c r="K153" s="124"/>
    </row>
    <row r="154" spans="2:11" ht="24.75" hidden="1" customHeight="1" x14ac:dyDescent="0.2">
      <c r="C154" s="124"/>
      <c r="D154" s="299"/>
      <c r="E154" s="299"/>
      <c r="F154" s="299"/>
      <c r="H154" s="299"/>
      <c r="I154" s="299"/>
      <c r="J154" s="300"/>
      <c r="K154" s="124"/>
    </row>
    <row r="155" spans="2:11" ht="21.75" customHeight="1" x14ac:dyDescent="0.25">
      <c r="C155" s="221" t="s">
        <v>105</v>
      </c>
      <c r="D155" s="301"/>
      <c r="E155" s="301"/>
      <c r="F155" s="301"/>
      <c r="H155" s="407" t="s">
        <v>163</v>
      </c>
      <c r="I155" s="407"/>
      <c r="J155" s="407"/>
      <c r="K155" s="407"/>
    </row>
    <row r="156" spans="2:11" ht="16.5" customHeight="1" x14ac:dyDescent="0.25">
      <c r="C156" s="221"/>
      <c r="D156" s="301"/>
      <c r="E156" s="301"/>
      <c r="F156" s="301"/>
      <c r="H156" s="409" t="s">
        <v>164</v>
      </c>
      <c r="I156" s="410"/>
      <c r="J156" s="410"/>
      <c r="K156" s="410"/>
    </row>
    <row r="157" spans="2:11" ht="206.25" customHeight="1" x14ac:dyDescent="0.25">
      <c r="C157" s="221"/>
      <c r="D157" s="301"/>
      <c r="E157" s="301"/>
      <c r="F157" s="301"/>
      <c r="H157" s="369"/>
      <c r="I157" s="368"/>
      <c r="J157" s="368"/>
      <c r="K157" s="368"/>
    </row>
    <row r="158" spans="2:11" ht="17.25" customHeight="1" x14ac:dyDescent="0.25">
      <c r="C158" s="221"/>
      <c r="D158" s="301"/>
      <c r="E158" s="301"/>
      <c r="F158" s="301"/>
      <c r="H158" s="404"/>
      <c r="I158" s="405"/>
      <c r="J158" s="405"/>
      <c r="K158" s="405"/>
    </row>
    <row r="159" spans="2:11" ht="24.95" customHeight="1" x14ac:dyDescent="0.2">
      <c r="B159" s="422" t="s">
        <v>165</v>
      </c>
      <c r="C159" s="422"/>
      <c r="D159" s="422"/>
      <c r="E159" s="422"/>
      <c r="F159" s="422"/>
      <c r="G159" s="422"/>
      <c r="H159" s="422"/>
      <c r="I159" s="422"/>
      <c r="J159" s="422"/>
      <c r="K159" s="422"/>
    </row>
    <row r="160" spans="2:11" ht="24.95" customHeight="1" x14ac:dyDescent="0.2">
      <c r="B160" s="422" t="s">
        <v>53</v>
      </c>
      <c r="C160" s="422"/>
      <c r="D160" s="422"/>
      <c r="E160" s="422"/>
      <c r="F160" s="422"/>
      <c r="G160" s="422"/>
      <c r="H160" s="422"/>
      <c r="I160" s="422"/>
      <c r="J160" s="422"/>
      <c r="K160" s="422"/>
    </row>
    <row r="161" spans="2:11" ht="24.95" customHeight="1" x14ac:dyDescent="0.2">
      <c r="B161" s="422" t="s">
        <v>166</v>
      </c>
      <c r="C161" s="422"/>
      <c r="D161" s="422"/>
      <c r="E161" s="422"/>
      <c r="F161" s="422"/>
      <c r="G161" s="422"/>
      <c r="H161" s="422"/>
      <c r="I161" s="422"/>
      <c r="J161" s="422"/>
      <c r="K161" s="422"/>
    </row>
    <row r="162" spans="2:11" ht="24.95" customHeight="1" x14ac:dyDescent="0.3">
      <c r="B162" s="43"/>
      <c r="C162" s="43"/>
      <c r="D162" s="274"/>
      <c r="E162" s="274"/>
      <c r="F162" s="274"/>
      <c r="G162" s="274"/>
      <c r="H162" s="274"/>
      <c r="I162" s="274"/>
      <c r="J162" s="272"/>
      <c r="K162" s="43"/>
    </row>
    <row r="163" spans="2:11" ht="24.95" customHeight="1" x14ac:dyDescent="0.2">
      <c r="B163" t="s">
        <v>37</v>
      </c>
      <c r="D163" s="289" t="s">
        <v>81</v>
      </c>
    </row>
    <row r="164" spans="2:11" ht="24.95" customHeight="1" thickBot="1" x14ac:dyDescent="0.25"/>
    <row r="165" spans="2:11" ht="24.95" customHeight="1" thickTop="1" x14ac:dyDescent="0.2">
      <c r="B165" s="423" t="s">
        <v>2</v>
      </c>
      <c r="C165" s="426" t="s">
        <v>24</v>
      </c>
      <c r="D165" s="429" t="s">
        <v>25</v>
      </c>
      <c r="E165" s="430"/>
      <c r="F165" s="431"/>
      <c r="G165" s="432" t="s">
        <v>7</v>
      </c>
      <c r="H165" s="432" t="s">
        <v>8</v>
      </c>
      <c r="I165" s="432" t="s">
        <v>9</v>
      </c>
      <c r="J165" s="435" t="s">
        <v>10</v>
      </c>
      <c r="K165" s="438" t="s">
        <v>11</v>
      </c>
    </row>
    <row r="166" spans="2:11" ht="24.95" customHeight="1" x14ac:dyDescent="0.2">
      <c r="B166" s="424"/>
      <c r="C166" s="427"/>
      <c r="D166" s="441" t="s">
        <v>4</v>
      </c>
      <c r="E166" s="443" t="s">
        <v>5</v>
      </c>
      <c r="F166" s="445" t="s">
        <v>6</v>
      </c>
      <c r="G166" s="433"/>
      <c r="H166" s="433"/>
      <c r="I166" s="433"/>
      <c r="J166" s="436"/>
      <c r="K166" s="439"/>
    </row>
    <row r="167" spans="2:11" ht="24.95" customHeight="1" thickBot="1" x14ac:dyDescent="0.25">
      <c r="B167" s="425"/>
      <c r="C167" s="428"/>
      <c r="D167" s="442"/>
      <c r="E167" s="444"/>
      <c r="F167" s="446"/>
      <c r="G167" s="434"/>
      <c r="H167" s="434"/>
      <c r="I167" s="434"/>
      <c r="J167" s="437"/>
      <c r="K167" s="440"/>
    </row>
    <row r="168" spans="2:11" ht="24.95" customHeight="1" thickTop="1" thickBot="1" x14ac:dyDescent="0.3">
      <c r="B168" s="5">
        <v>1</v>
      </c>
      <c r="C168" s="6">
        <v>2</v>
      </c>
      <c r="D168" s="275">
        <v>3</v>
      </c>
      <c r="E168" s="275">
        <v>4</v>
      </c>
      <c r="F168" s="275">
        <v>5</v>
      </c>
      <c r="G168" s="275">
        <v>6</v>
      </c>
      <c r="H168" s="275">
        <v>7</v>
      </c>
      <c r="I168" s="275">
        <v>8</v>
      </c>
      <c r="J168" s="109">
        <v>9</v>
      </c>
      <c r="K168" s="7">
        <v>10</v>
      </c>
    </row>
    <row r="169" spans="2:11" ht="24.95" customHeight="1" thickTop="1" x14ac:dyDescent="0.2">
      <c r="B169" s="63">
        <v>1</v>
      </c>
      <c r="C169" s="111" t="s">
        <v>26</v>
      </c>
      <c r="D169" s="281">
        <f>' kom 2021'!C14</f>
        <v>41</v>
      </c>
      <c r="E169" s="281">
        <f>' kom 2021'!D14</f>
        <v>120</v>
      </c>
      <c r="F169" s="281">
        <f>' kom 2021'!E14</f>
        <v>133</v>
      </c>
      <c r="G169" s="281">
        <f>F169+E169+D169</f>
        <v>294</v>
      </c>
      <c r="H169" s="281">
        <f>I169/1000*E169</f>
        <v>108.36</v>
      </c>
      <c r="I169" s="281">
        <f>' kom 2021'!H14</f>
        <v>903</v>
      </c>
      <c r="J169" s="84">
        <f>' kom 2021'!I14</f>
        <v>358</v>
      </c>
      <c r="K169" s="81"/>
    </row>
    <row r="170" spans="2:11" ht="24.95" customHeight="1" x14ac:dyDescent="0.2">
      <c r="B170" s="57">
        <v>2</v>
      </c>
      <c r="C170" s="112" t="s">
        <v>27</v>
      </c>
      <c r="D170" s="279">
        <f>' kom 2021'!C61</f>
        <v>754.5</v>
      </c>
      <c r="E170" s="279">
        <f>' kom 2021'!D61</f>
        <v>8881</v>
      </c>
      <c r="F170" s="279">
        <f>' kom 2021'!E61</f>
        <v>694.5</v>
      </c>
      <c r="G170" s="279">
        <f>F170+E170+D170</f>
        <v>10330</v>
      </c>
      <c r="H170" s="279">
        <f>I170/1000*E170</f>
        <v>30692.736000000001</v>
      </c>
      <c r="I170" s="279">
        <f>' kom 2021'!H61</f>
        <v>3456</v>
      </c>
      <c r="J170" s="70">
        <f>' kom 2021'!I61</f>
        <v>3282</v>
      </c>
      <c r="K170" s="86"/>
    </row>
    <row r="171" spans="2:11" ht="24.95" customHeight="1" x14ac:dyDescent="0.2">
      <c r="B171" s="57">
        <v>3</v>
      </c>
      <c r="C171" s="112" t="s">
        <v>28</v>
      </c>
      <c r="D171" s="279">
        <f>' kom 2021'!C191</f>
        <v>20</v>
      </c>
      <c r="E171" s="279">
        <f>' kom 2021'!D191</f>
        <v>248</v>
      </c>
      <c r="F171" s="279">
        <f>' kom 2021'!E191</f>
        <v>523</v>
      </c>
      <c r="G171" s="279">
        <f t="shared" ref="G171:G173" si="13">F171+E171+D171</f>
        <v>791</v>
      </c>
      <c r="H171" s="279">
        <f>I171/1000*E171</f>
        <v>223.20000000000002</v>
      </c>
      <c r="I171" s="279">
        <f>' kom 2021'!H191</f>
        <v>900</v>
      </c>
      <c r="J171" s="70">
        <f>' kom 2021'!I191</f>
        <v>2626</v>
      </c>
      <c r="K171" s="80"/>
    </row>
    <row r="172" spans="2:11" ht="24.95" customHeight="1" x14ac:dyDescent="0.2">
      <c r="B172" s="57">
        <v>4</v>
      </c>
      <c r="C172" s="112" t="s">
        <v>29</v>
      </c>
      <c r="D172" s="279">
        <v>0</v>
      </c>
      <c r="E172" s="279">
        <v>0</v>
      </c>
      <c r="F172" s="279">
        <v>0</v>
      </c>
      <c r="G172" s="279">
        <f t="shared" si="13"/>
        <v>0</v>
      </c>
      <c r="H172" s="279">
        <v>0</v>
      </c>
      <c r="I172" s="287">
        <v>0</v>
      </c>
      <c r="J172" s="70" t="s">
        <v>12</v>
      </c>
      <c r="K172" s="80"/>
    </row>
    <row r="173" spans="2:11" ht="24.95" customHeight="1" x14ac:dyDescent="0.2">
      <c r="B173" s="57">
        <v>5</v>
      </c>
      <c r="C173" s="112" t="s">
        <v>30</v>
      </c>
      <c r="D173" s="279">
        <f>' kom 2021'!C144</f>
        <v>15</v>
      </c>
      <c r="E173" s="279">
        <f>' kom 2021'!D144</f>
        <v>33</v>
      </c>
      <c r="F173" s="279">
        <f>' kom 2021'!E144</f>
        <v>74</v>
      </c>
      <c r="G173" s="279">
        <f t="shared" si="13"/>
        <v>122</v>
      </c>
      <c r="H173" s="279">
        <f t="shared" ref="H173:H175" si="14">I173/1000*E173</f>
        <v>13.200000000000001</v>
      </c>
      <c r="I173" s="279">
        <f>' kom 2021'!H144</f>
        <v>400</v>
      </c>
      <c r="J173" s="70">
        <f>' kom 2021'!I144</f>
        <v>382</v>
      </c>
      <c r="K173" s="80"/>
    </row>
    <row r="174" spans="2:11" ht="24.95" customHeight="1" x14ac:dyDescent="0.2">
      <c r="B174" s="57">
        <v>6</v>
      </c>
      <c r="C174" s="112" t="s">
        <v>31</v>
      </c>
      <c r="D174" s="279">
        <f>' kom 2021'!C417</f>
        <v>0</v>
      </c>
      <c r="E174" s="283">
        <f>' kom 2021'!D417</f>
        <v>1</v>
      </c>
      <c r="F174" s="279">
        <f>' kom 2021'!E417</f>
        <v>28</v>
      </c>
      <c r="G174" s="283">
        <f>F174+E174</f>
        <v>29</v>
      </c>
      <c r="H174" s="279">
        <f t="shared" si="14"/>
        <v>0.21</v>
      </c>
      <c r="I174" s="279">
        <f>' kom 2021'!H417</f>
        <v>210</v>
      </c>
      <c r="J174" s="70">
        <f>' kom 2021'!I417</f>
        <v>105</v>
      </c>
      <c r="K174" s="80"/>
    </row>
    <row r="175" spans="2:11" ht="24.95" customHeight="1" x14ac:dyDescent="0.2">
      <c r="B175" s="57">
        <v>7</v>
      </c>
      <c r="C175" s="112" t="s">
        <v>32</v>
      </c>
      <c r="D175" s="279">
        <f>' kom 2021'!C99</f>
        <v>10</v>
      </c>
      <c r="E175" s="279">
        <f>' kom 2021'!D99</f>
        <v>12</v>
      </c>
      <c r="F175" s="279">
        <f>' kom 2021'!E99</f>
        <v>15</v>
      </c>
      <c r="G175" s="279">
        <f t="shared" ref="G175" si="15">F175+E175+D175</f>
        <v>37</v>
      </c>
      <c r="H175" s="279">
        <f t="shared" si="14"/>
        <v>10.416</v>
      </c>
      <c r="I175" s="279">
        <f>' kom 2021'!H99</f>
        <v>868</v>
      </c>
      <c r="J175" s="70">
        <f>' kom 2021'!I99</f>
        <v>55</v>
      </c>
      <c r="K175" s="81"/>
    </row>
    <row r="176" spans="2:11" ht="24.95" customHeight="1" x14ac:dyDescent="0.2">
      <c r="B176" s="57">
        <v>8</v>
      </c>
      <c r="C176" s="112" t="s">
        <v>49</v>
      </c>
      <c r="D176" s="279">
        <f>' kom 2021'!C454</f>
        <v>4</v>
      </c>
      <c r="E176" s="283">
        <f>' kom 2021'!D454</f>
        <v>4</v>
      </c>
      <c r="F176" s="279">
        <f>' kom 2021'!E454</f>
        <v>0</v>
      </c>
      <c r="G176" s="283">
        <f>' kom 2021'!F454</f>
        <v>4</v>
      </c>
      <c r="H176" s="279">
        <f>' kom 2021'!G454</f>
        <v>2</v>
      </c>
      <c r="I176" s="287">
        <f>' kom 2021'!H454</f>
        <v>500</v>
      </c>
      <c r="J176" s="70">
        <f>' kom 2021'!I454</f>
        <v>14</v>
      </c>
      <c r="K176" s="80"/>
    </row>
    <row r="177" spans="2:11" ht="24.95" customHeight="1" x14ac:dyDescent="0.2">
      <c r="B177" s="57">
        <v>9</v>
      </c>
      <c r="C177" s="112" t="s">
        <v>34</v>
      </c>
      <c r="D177" s="279">
        <v>0</v>
      </c>
      <c r="E177" s="279">
        <v>0</v>
      </c>
      <c r="F177" s="279">
        <f>' kom 2021'!E374</f>
        <v>40</v>
      </c>
      <c r="G177" s="279">
        <f t="shared" ref="G177:G179" si="16">F177+E177+D177</f>
        <v>40</v>
      </c>
      <c r="H177" s="279">
        <f>' kom 2021'!G374</f>
        <v>0</v>
      </c>
      <c r="I177" s="287">
        <f>' kom 2021'!H374</f>
        <v>514</v>
      </c>
      <c r="J177" s="70">
        <f>' kom 2021'!I374</f>
        <v>56</v>
      </c>
      <c r="K177" s="80"/>
    </row>
    <row r="178" spans="2:11" ht="24.95" customHeight="1" x14ac:dyDescent="0.2">
      <c r="B178" s="57">
        <v>10</v>
      </c>
      <c r="C178" s="112" t="s">
        <v>35</v>
      </c>
      <c r="D178" s="279">
        <f>' kom 2021'!C238</f>
        <v>13</v>
      </c>
      <c r="E178" s="279">
        <f>' kom 2021'!D238</f>
        <v>31</v>
      </c>
      <c r="F178" s="279" t="str">
        <f>' kom 2021'!E238</f>
        <v>-</v>
      </c>
      <c r="G178" s="279">
        <f>E178+D178</f>
        <v>44</v>
      </c>
      <c r="H178" s="279">
        <f t="shared" ref="H178" si="17">I178/1000*E178</f>
        <v>11.593999999999999</v>
      </c>
      <c r="I178" s="279">
        <f>' kom 2021'!H238</f>
        <v>374</v>
      </c>
      <c r="J178" s="70">
        <f>' kom 2021'!I238</f>
        <v>199</v>
      </c>
      <c r="K178" s="80"/>
    </row>
    <row r="179" spans="2:11" ht="24.95" customHeight="1" x14ac:dyDescent="0.2">
      <c r="B179" s="57">
        <v>11</v>
      </c>
      <c r="C179" s="112" t="s">
        <v>36</v>
      </c>
      <c r="D179" s="283">
        <f>' kom 2021'!C329</f>
        <v>1</v>
      </c>
      <c r="E179" s="279">
        <f>' kom 2021'!D329</f>
        <v>3</v>
      </c>
      <c r="F179" s="283">
        <f>' kom 2021'!E329</f>
        <v>13</v>
      </c>
      <c r="G179" s="279">
        <f t="shared" si="16"/>
        <v>17</v>
      </c>
      <c r="H179" s="279">
        <f t="shared" ref="H179" si="18">I179/1000*E179</f>
        <v>0.45299999999999996</v>
      </c>
      <c r="I179" s="279">
        <f>' kom 2021'!H329</f>
        <v>151</v>
      </c>
      <c r="J179" s="70">
        <f>' kom 2021'!I329</f>
        <v>34</v>
      </c>
      <c r="K179" s="78"/>
    </row>
    <row r="180" spans="2:11" ht="24.95" customHeight="1" x14ac:dyDescent="0.2">
      <c r="B180" s="57">
        <v>12</v>
      </c>
      <c r="C180" s="130" t="s">
        <v>86</v>
      </c>
      <c r="D180" s="279">
        <f>' kom 2021'!C824</f>
        <v>0</v>
      </c>
      <c r="E180" s="279">
        <f>' kom 2021'!D824</f>
        <v>0</v>
      </c>
      <c r="F180" s="279">
        <f>' kom 2021'!E824</f>
        <v>0</v>
      </c>
      <c r="G180" s="286" t="s">
        <v>12</v>
      </c>
      <c r="H180" s="286" t="s">
        <v>12</v>
      </c>
      <c r="I180" s="279">
        <f>' kom 2021'!H824</f>
        <v>0</v>
      </c>
      <c r="J180" s="70">
        <f>' kom 2021'!I824</f>
        <v>0</v>
      </c>
      <c r="K180" s="117"/>
    </row>
    <row r="181" spans="2:11" ht="24.95" customHeight="1" x14ac:dyDescent="0.2">
      <c r="B181" s="57">
        <v>13</v>
      </c>
      <c r="C181" s="112" t="s">
        <v>87</v>
      </c>
      <c r="D181" s="279" t="str">
        <f>' kom 2021'!C537</f>
        <v>-</v>
      </c>
      <c r="E181" s="279">
        <f>' kom 2021'!D537</f>
        <v>1</v>
      </c>
      <c r="F181" s="279">
        <f>' kom 2021'!E537</f>
        <v>2</v>
      </c>
      <c r="G181" s="286">
        <f>F181+E181</f>
        <v>3</v>
      </c>
      <c r="H181" s="279">
        <f>I181/1000*E181</f>
        <v>0.3</v>
      </c>
      <c r="I181" s="279">
        <f>' kom 2021'!H537</f>
        <v>300</v>
      </c>
      <c r="J181" s="70">
        <f>' kom 2021'!I537</f>
        <v>12</v>
      </c>
      <c r="K181" s="78"/>
    </row>
    <row r="182" spans="2:11" ht="24.95" customHeight="1" x14ac:dyDescent="0.2">
      <c r="B182" s="57">
        <v>14</v>
      </c>
      <c r="C182" s="95" t="s">
        <v>33</v>
      </c>
      <c r="D182" s="279">
        <f>' kom 2021'!C753</f>
        <v>0</v>
      </c>
      <c r="E182" s="279">
        <f>' kom 2021'!D753</f>
        <v>0</v>
      </c>
      <c r="F182" s="279">
        <f>' kom 2021'!E574</f>
        <v>13</v>
      </c>
      <c r="G182" s="286">
        <f>F182</f>
        <v>13</v>
      </c>
      <c r="H182" s="286" t="s">
        <v>12</v>
      </c>
      <c r="I182" s="279">
        <f>' kom 2021'!H574</f>
        <v>604</v>
      </c>
      <c r="J182" s="70">
        <f>' kom 2021'!I574</f>
        <v>97</v>
      </c>
      <c r="K182" s="78"/>
    </row>
    <row r="183" spans="2:11" ht="24.95" customHeight="1" x14ac:dyDescent="0.2">
      <c r="B183" s="57">
        <v>15</v>
      </c>
      <c r="C183" s="95" t="s">
        <v>88</v>
      </c>
      <c r="D183" s="279">
        <f>' kom 2021'!C754</f>
        <v>0</v>
      </c>
      <c r="E183" s="279">
        <f>' kom 2021'!D754</f>
        <v>0</v>
      </c>
      <c r="F183" s="279">
        <f>' kom 2021'!E754</f>
        <v>0</v>
      </c>
      <c r="G183" s="286" t="s">
        <v>12</v>
      </c>
      <c r="H183" s="286" t="s">
        <v>12</v>
      </c>
      <c r="I183" s="279">
        <f>' kom 2021'!H754</f>
        <v>0</v>
      </c>
      <c r="J183" s="70">
        <f>' kom 2021'!I754</f>
        <v>0</v>
      </c>
      <c r="K183" s="78"/>
    </row>
    <row r="184" spans="2:11" ht="24.95" customHeight="1" thickBot="1" x14ac:dyDescent="0.25">
      <c r="B184" s="60">
        <v>16</v>
      </c>
      <c r="C184" s="134" t="s">
        <v>84</v>
      </c>
      <c r="D184" s="288">
        <f>' kom 2021'!C648</f>
        <v>3</v>
      </c>
      <c r="E184" s="288" t="str">
        <f>' kom 2021'!D648</f>
        <v>-</v>
      </c>
      <c r="F184" s="288" t="str">
        <f>' kom 2021'!E648</f>
        <v>-</v>
      </c>
      <c r="G184" s="288">
        <f>D184</f>
        <v>3</v>
      </c>
      <c r="H184" s="288" t="s">
        <v>12</v>
      </c>
      <c r="I184" s="288">
        <f>' kom 2021'!H648</f>
        <v>80</v>
      </c>
      <c r="J184" s="141">
        <f>' kom 2021'!I648</f>
        <v>7</v>
      </c>
      <c r="K184" s="136"/>
    </row>
    <row r="185" spans="2:11" ht="17.25" customHeight="1" thickTop="1" x14ac:dyDescent="0.2"/>
    <row r="186" spans="2:11" ht="15" customHeight="1" x14ac:dyDescent="0.2">
      <c r="H186" s="296" t="s">
        <v>4</v>
      </c>
      <c r="I186" s="421" t="s">
        <v>63</v>
      </c>
      <c r="J186" s="421"/>
      <c r="K186" s="421"/>
    </row>
    <row r="187" spans="2:11" ht="15" customHeight="1" x14ac:dyDescent="0.2">
      <c r="H187" s="298" t="s">
        <v>5</v>
      </c>
      <c r="I187" s="421" t="s">
        <v>64</v>
      </c>
      <c r="J187" s="421"/>
      <c r="K187" s="421"/>
    </row>
    <row r="188" spans="2:11" ht="15" customHeight="1" x14ac:dyDescent="0.2">
      <c r="H188" s="296" t="s">
        <v>6</v>
      </c>
      <c r="I188" s="421" t="s">
        <v>65</v>
      </c>
      <c r="J188" s="421"/>
      <c r="K188" s="421"/>
    </row>
    <row r="189" spans="2:11" ht="15" customHeight="1" x14ac:dyDescent="0.2">
      <c r="H189" s="410"/>
      <c r="I189" s="410"/>
      <c r="J189" s="410"/>
      <c r="K189" s="410"/>
    </row>
    <row r="190" spans="2:11" ht="24.95" customHeight="1" x14ac:dyDescent="0.2">
      <c r="C190" s="218" t="s">
        <v>102</v>
      </c>
      <c r="D190" s="299"/>
      <c r="E190" s="299"/>
      <c r="F190" s="299"/>
      <c r="H190" s="412" t="s">
        <v>99</v>
      </c>
      <c r="I190" s="412"/>
      <c r="J190" s="412"/>
      <c r="K190" s="412"/>
    </row>
    <row r="191" spans="2:11" ht="16.5" customHeight="1" x14ac:dyDescent="0.2">
      <c r="C191" s="125"/>
      <c r="D191" s="299"/>
      <c r="E191" s="299"/>
      <c r="F191" s="299"/>
      <c r="H191" s="412"/>
      <c r="I191" s="412"/>
      <c r="J191" s="412"/>
      <c r="K191" s="412"/>
    </row>
    <row r="192" spans="2:11" ht="17.25" customHeight="1" x14ac:dyDescent="0.2">
      <c r="C192" s="124"/>
      <c r="D192" s="299"/>
      <c r="E192" s="299"/>
      <c r="F192" s="299"/>
      <c r="H192" s="299"/>
      <c r="I192" s="299"/>
      <c r="J192" s="300"/>
      <c r="K192" s="124"/>
    </row>
    <row r="193" spans="2:11" ht="15.75" customHeight="1" x14ac:dyDescent="0.2">
      <c r="C193" s="124"/>
      <c r="D193" s="299"/>
      <c r="E193" s="299"/>
      <c r="F193" s="299"/>
      <c r="H193" s="299"/>
      <c r="I193" s="299"/>
      <c r="J193" s="300"/>
      <c r="K193" s="124"/>
    </row>
    <row r="194" spans="2:11" ht="24.95" customHeight="1" x14ac:dyDescent="0.25">
      <c r="C194" s="221" t="s">
        <v>106</v>
      </c>
      <c r="D194" s="301"/>
      <c r="E194" s="301"/>
      <c r="F194" s="301"/>
      <c r="H194" s="407" t="s">
        <v>163</v>
      </c>
      <c r="I194" s="407"/>
      <c r="J194" s="407"/>
      <c r="K194" s="407"/>
    </row>
    <row r="195" spans="2:11" ht="16.5" customHeight="1" x14ac:dyDescent="0.25">
      <c r="C195" s="221"/>
      <c r="D195" s="301"/>
      <c r="E195" s="301"/>
      <c r="F195" s="301"/>
      <c r="H195" s="409" t="s">
        <v>164</v>
      </c>
      <c r="I195" s="410"/>
      <c r="J195" s="410"/>
      <c r="K195" s="410"/>
    </row>
    <row r="196" spans="2:11" ht="207.75" customHeight="1" x14ac:dyDescent="0.25">
      <c r="C196" s="221"/>
      <c r="D196" s="301"/>
      <c r="E196" s="301"/>
      <c r="F196" s="301"/>
      <c r="H196" s="316"/>
      <c r="I196" s="317"/>
      <c r="J196" s="317"/>
      <c r="K196" s="317"/>
    </row>
    <row r="197" spans="2:11" ht="16.5" customHeight="1" x14ac:dyDescent="0.25">
      <c r="C197" s="221"/>
      <c r="D197" s="301"/>
      <c r="E197" s="301"/>
      <c r="F197" s="301"/>
      <c r="H197" s="404"/>
      <c r="I197" s="405"/>
      <c r="J197" s="405"/>
      <c r="K197" s="405"/>
    </row>
    <row r="198" spans="2:11" ht="24.95" customHeight="1" x14ac:dyDescent="0.2">
      <c r="B198" s="422" t="s">
        <v>165</v>
      </c>
      <c r="C198" s="422"/>
      <c r="D198" s="422"/>
      <c r="E198" s="422"/>
      <c r="F198" s="422"/>
      <c r="G198" s="422"/>
      <c r="H198" s="422"/>
      <c r="I198" s="422"/>
      <c r="J198" s="422"/>
      <c r="K198" s="422"/>
    </row>
    <row r="199" spans="2:11" ht="24.95" customHeight="1" x14ac:dyDescent="0.2">
      <c r="B199" s="422" t="s">
        <v>53</v>
      </c>
      <c r="C199" s="422"/>
      <c r="D199" s="422"/>
      <c r="E199" s="422"/>
      <c r="F199" s="422"/>
      <c r="G199" s="422"/>
      <c r="H199" s="422"/>
      <c r="I199" s="422"/>
      <c r="J199" s="422"/>
      <c r="K199" s="422"/>
    </row>
    <row r="200" spans="2:11" ht="24.95" customHeight="1" x14ac:dyDescent="0.2">
      <c r="B200" s="422" t="s">
        <v>166</v>
      </c>
      <c r="C200" s="422"/>
      <c r="D200" s="422"/>
      <c r="E200" s="422"/>
      <c r="F200" s="422"/>
      <c r="G200" s="422"/>
      <c r="H200" s="422"/>
      <c r="I200" s="422"/>
      <c r="J200" s="422"/>
      <c r="K200" s="422"/>
    </row>
    <row r="201" spans="2:11" ht="24.95" customHeight="1" x14ac:dyDescent="0.3">
      <c r="B201" s="43"/>
      <c r="C201" s="43"/>
      <c r="D201" s="274"/>
      <c r="E201" s="274"/>
      <c r="F201" s="274"/>
      <c r="G201" s="274"/>
      <c r="H201" s="274"/>
      <c r="I201" s="274"/>
      <c r="J201" s="272"/>
      <c r="K201" s="43"/>
    </row>
    <row r="202" spans="2:11" ht="24.95" customHeight="1" x14ac:dyDescent="0.2">
      <c r="B202" t="s">
        <v>37</v>
      </c>
      <c r="D202" s="289" t="s">
        <v>55</v>
      </c>
    </row>
    <row r="203" spans="2:11" ht="24.95" customHeight="1" thickBot="1" x14ac:dyDescent="0.25"/>
    <row r="204" spans="2:11" ht="24.95" customHeight="1" thickTop="1" x14ac:dyDescent="0.2">
      <c r="B204" s="423" t="s">
        <v>2</v>
      </c>
      <c r="C204" s="426" t="s">
        <v>24</v>
      </c>
      <c r="D204" s="429" t="s">
        <v>25</v>
      </c>
      <c r="E204" s="430"/>
      <c r="F204" s="431"/>
      <c r="G204" s="432" t="s">
        <v>7</v>
      </c>
      <c r="H204" s="432" t="s">
        <v>8</v>
      </c>
      <c r="I204" s="432" t="s">
        <v>9</v>
      </c>
      <c r="J204" s="435" t="s">
        <v>10</v>
      </c>
      <c r="K204" s="438" t="s">
        <v>11</v>
      </c>
    </row>
    <row r="205" spans="2:11" ht="24.95" customHeight="1" x14ac:dyDescent="0.2">
      <c r="B205" s="424"/>
      <c r="C205" s="427"/>
      <c r="D205" s="441" t="s">
        <v>4</v>
      </c>
      <c r="E205" s="443" t="s">
        <v>5</v>
      </c>
      <c r="F205" s="445" t="s">
        <v>6</v>
      </c>
      <c r="G205" s="433"/>
      <c r="H205" s="433"/>
      <c r="I205" s="433"/>
      <c r="J205" s="436"/>
      <c r="K205" s="439"/>
    </row>
    <row r="206" spans="2:11" ht="24.95" customHeight="1" thickBot="1" x14ac:dyDescent="0.25">
      <c r="B206" s="425"/>
      <c r="C206" s="428"/>
      <c r="D206" s="442"/>
      <c r="E206" s="444"/>
      <c r="F206" s="446"/>
      <c r="G206" s="434"/>
      <c r="H206" s="434"/>
      <c r="I206" s="434"/>
      <c r="J206" s="437"/>
      <c r="K206" s="440"/>
    </row>
    <row r="207" spans="2:11" ht="24.95" customHeight="1" thickTop="1" thickBot="1" x14ac:dyDescent="0.3">
      <c r="B207" s="5">
        <v>1</v>
      </c>
      <c r="C207" s="6">
        <v>2</v>
      </c>
      <c r="D207" s="275">
        <v>3</v>
      </c>
      <c r="E207" s="275">
        <v>4</v>
      </c>
      <c r="F207" s="275">
        <v>5</v>
      </c>
      <c r="G207" s="275">
        <v>6</v>
      </c>
      <c r="H207" s="275">
        <v>7</v>
      </c>
      <c r="I207" s="275">
        <v>8</v>
      </c>
      <c r="J207" s="109">
        <v>9</v>
      </c>
      <c r="K207" s="7">
        <v>10</v>
      </c>
    </row>
    <row r="208" spans="2:11" ht="24.95" customHeight="1" thickTop="1" x14ac:dyDescent="0.2">
      <c r="B208" s="63">
        <v>1</v>
      </c>
      <c r="C208" s="111" t="s">
        <v>26</v>
      </c>
      <c r="D208" s="281">
        <f>' kom 2021'!C15</f>
        <v>57</v>
      </c>
      <c r="E208" s="281">
        <f>' kom 2021'!D15</f>
        <v>588</v>
      </c>
      <c r="F208" s="284">
        <f>' kom 2021'!E15</f>
        <v>143</v>
      </c>
      <c r="G208" s="281">
        <f t="shared" ref="G208:G212" si="19">F208+E208+D208</f>
        <v>788</v>
      </c>
      <c r="H208" s="281">
        <f t="shared" ref="H208:H209" si="20">I208/1000*E208</f>
        <v>530.96400000000006</v>
      </c>
      <c r="I208" s="281">
        <f>' kom 2021'!H15</f>
        <v>903</v>
      </c>
      <c r="J208" s="84">
        <f>' kom 2021'!I15</f>
        <v>816</v>
      </c>
      <c r="K208" s="32"/>
    </row>
    <row r="209" spans="2:11" ht="24.95" customHeight="1" x14ac:dyDescent="0.2">
      <c r="B209" s="57">
        <v>2</v>
      </c>
      <c r="C209" s="112" t="s">
        <v>27</v>
      </c>
      <c r="D209" s="279">
        <f>' kom 2021'!C62</f>
        <v>815</v>
      </c>
      <c r="E209" s="279">
        <f>' kom 2021'!D62</f>
        <v>2295</v>
      </c>
      <c r="F209" s="280">
        <f>' kom 2021'!E62</f>
        <v>58</v>
      </c>
      <c r="G209" s="279">
        <f t="shared" si="19"/>
        <v>3168</v>
      </c>
      <c r="H209" s="279">
        <f t="shared" si="20"/>
        <v>7931.5199999999995</v>
      </c>
      <c r="I209" s="279">
        <f>' kom 2021'!H62</f>
        <v>3456</v>
      </c>
      <c r="J209" s="70">
        <f>' kom 2021'!I62</f>
        <v>807</v>
      </c>
      <c r="K209" s="24"/>
    </row>
    <row r="210" spans="2:11" ht="24.95" customHeight="1" x14ac:dyDescent="0.2">
      <c r="B210" s="57">
        <v>3</v>
      </c>
      <c r="C210" s="112" t="s">
        <v>28</v>
      </c>
      <c r="D210" s="279">
        <f>' kom 2021'!C192</f>
        <v>8</v>
      </c>
      <c r="E210" s="279">
        <f>' kom 2021'!D192</f>
        <v>39</v>
      </c>
      <c r="F210" s="280">
        <f>' kom 2021'!E192</f>
        <v>73</v>
      </c>
      <c r="G210" s="279">
        <f t="shared" si="19"/>
        <v>120</v>
      </c>
      <c r="H210" s="279">
        <f>I210/1000*E210</f>
        <v>35.1</v>
      </c>
      <c r="I210" s="279">
        <f>' kom 2021'!H192</f>
        <v>900</v>
      </c>
      <c r="J210" s="70">
        <f>' kom 2021'!I192</f>
        <v>308</v>
      </c>
      <c r="K210" s="19"/>
    </row>
    <row r="211" spans="2:11" ht="24.95" customHeight="1" x14ac:dyDescent="0.2">
      <c r="B211" s="57">
        <v>4</v>
      </c>
      <c r="C211" s="112" t="s">
        <v>29</v>
      </c>
      <c r="D211" s="279">
        <v>0</v>
      </c>
      <c r="E211" s="279">
        <v>0</v>
      </c>
      <c r="F211" s="280" t="str">
        <f>' kom 2021'!E285</f>
        <v>-</v>
      </c>
      <c r="G211" s="279" t="s">
        <v>12</v>
      </c>
      <c r="H211" s="279">
        <v>0</v>
      </c>
      <c r="I211" s="287">
        <v>0</v>
      </c>
      <c r="J211" s="71" t="s">
        <v>12</v>
      </c>
      <c r="K211" s="19"/>
    </row>
    <row r="212" spans="2:11" ht="24.95" customHeight="1" x14ac:dyDescent="0.2">
      <c r="B212" s="57">
        <v>5</v>
      </c>
      <c r="C212" s="112" t="s">
        <v>30</v>
      </c>
      <c r="D212" s="279">
        <f>' kom 2021'!C145</f>
        <v>25</v>
      </c>
      <c r="E212" s="279">
        <f>' kom 2021'!D145</f>
        <v>164</v>
      </c>
      <c r="F212" s="279">
        <f>' kom 2021'!E145</f>
        <v>95</v>
      </c>
      <c r="G212" s="279">
        <f t="shared" si="19"/>
        <v>284</v>
      </c>
      <c r="H212" s="279">
        <f t="shared" ref="H212:H214" si="21">I212/1000*E212</f>
        <v>65.600000000000009</v>
      </c>
      <c r="I212" s="279">
        <f>' kom 2021'!H145</f>
        <v>400</v>
      </c>
      <c r="J212" s="70">
        <f>' kom 2021'!I145</f>
        <v>117</v>
      </c>
      <c r="K212" s="19"/>
    </row>
    <row r="213" spans="2:11" ht="24.95" customHeight="1" x14ac:dyDescent="0.2">
      <c r="B213" s="57">
        <v>6</v>
      </c>
      <c r="C213" s="112" t="s">
        <v>31</v>
      </c>
      <c r="D213" s="279">
        <f>' kom 2021'!C418</f>
        <v>0</v>
      </c>
      <c r="E213" s="279">
        <f>' kom 2021'!D418</f>
        <v>0</v>
      </c>
      <c r="F213" s="279">
        <f>' kom 2021'!E418</f>
        <v>0</v>
      </c>
      <c r="G213" s="283" t="s">
        <v>12</v>
      </c>
      <c r="H213" s="279">
        <f t="shared" si="21"/>
        <v>0</v>
      </c>
      <c r="I213" s="279">
        <f>' kom 2021'!H418</f>
        <v>0</v>
      </c>
      <c r="J213" s="70">
        <f>' kom 2021'!I418</f>
        <v>0</v>
      </c>
      <c r="K213" s="19"/>
    </row>
    <row r="214" spans="2:11" ht="24.95" customHeight="1" x14ac:dyDescent="0.2">
      <c r="B214" s="57">
        <v>7</v>
      </c>
      <c r="C214" s="112" t="s">
        <v>32</v>
      </c>
      <c r="D214" s="279">
        <f>' kom 2021'!C100</f>
        <v>6</v>
      </c>
      <c r="E214" s="279">
        <f>' kom 2021'!D100</f>
        <v>21</v>
      </c>
      <c r="F214" s="279">
        <f>' kom 2021'!E100</f>
        <v>26</v>
      </c>
      <c r="G214" s="279">
        <f t="shared" ref="G214:G217" si="22">F214+E214+D214</f>
        <v>53</v>
      </c>
      <c r="H214" s="279">
        <f t="shared" si="21"/>
        <v>18.228000000000002</v>
      </c>
      <c r="I214" s="279">
        <f>' kom 2021'!H100</f>
        <v>868</v>
      </c>
      <c r="J214" s="70">
        <f>' kom 2021'!I100</f>
        <v>72</v>
      </c>
      <c r="K214" s="32"/>
    </row>
    <row r="215" spans="2:11" ht="24.95" customHeight="1" x14ac:dyDescent="0.2">
      <c r="B215" s="57">
        <v>8</v>
      </c>
      <c r="C215" s="112" t="s">
        <v>49</v>
      </c>
      <c r="D215" s="279" t="str">
        <f>' kom 2021'!C455</f>
        <v>-</v>
      </c>
      <c r="E215" s="279" t="str">
        <f>' kom 2021'!D455</f>
        <v>-</v>
      </c>
      <c r="F215" s="279">
        <f>' kom 2021'!E455</f>
        <v>0</v>
      </c>
      <c r="G215" s="279" t="str">
        <f>' kom 2021'!F455</f>
        <v>-</v>
      </c>
      <c r="H215" s="279" t="str">
        <f>' kom 2021'!G455</f>
        <v>-</v>
      </c>
      <c r="I215" s="287" t="str">
        <f>' kom 2021'!H455</f>
        <v>-</v>
      </c>
      <c r="J215" s="70" t="str">
        <f>' kom 2021'!I455</f>
        <v>-</v>
      </c>
      <c r="K215" s="19"/>
    </row>
    <row r="216" spans="2:11" ht="24.95" customHeight="1" x14ac:dyDescent="0.2">
      <c r="B216" s="57">
        <v>9</v>
      </c>
      <c r="C216" s="112" t="s">
        <v>34</v>
      </c>
      <c r="D216" s="279" t="str">
        <f>' kom 2021'!C375</f>
        <v>-</v>
      </c>
      <c r="E216" s="279">
        <f>' kom 2021'!D375</f>
        <v>0</v>
      </c>
      <c r="F216" s="279">
        <f>' kom 2021'!E375</f>
        <v>0</v>
      </c>
      <c r="G216" s="283" t="s">
        <v>12</v>
      </c>
      <c r="H216" s="279">
        <v>0</v>
      </c>
      <c r="I216" s="279">
        <f>' kom 2021'!H375</f>
        <v>0</v>
      </c>
      <c r="J216" s="70" t="str">
        <f>' kom 2021'!I375</f>
        <v>-</v>
      </c>
      <c r="K216" s="19"/>
    </row>
    <row r="217" spans="2:11" ht="24.95" customHeight="1" x14ac:dyDescent="0.2">
      <c r="B217" s="57">
        <v>10</v>
      </c>
      <c r="C217" s="112" t="s">
        <v>35</v>
      </c>
      <c r="D217" s="279">
        <f>' kom 2021'!C239</f>
        <v>10</v>
      </c>
      <c r="E217" s="279">
        <f>' kom 2021'!D239</f>
        <v>17</v>
      </c>
      <c r="F217" s="279">
        <f>' kom 2021'!E239</f>
        <v>3</v>
      </c>
      <c r="G217" s="279">
        <f t="shared" si="22"/>
        <v>30</v>
      </c>
      <c r="H217" s="279">
        <f t="shared" ref="H217" si="23">I217/1000*E217</f>
        <v>6.3579999999999997</v>
      </c>
      <c r="I217" s="279">
        <f>' kom 2021'!H239</f>
        <v>374</v>
      </c>
      <c r="J217" s="70">
        <f>' kom 2021'!I239</f>
        <v>60</v>
      </c>
      <c r="K217" s="26"/>
    </row>
    <row r="218" spans="2:11" ht="24.95" customHeight="1" x14ac:dyDescent="0.2">
      <c r="B218" s="57">
        <v>11</v>
      </c>
      <c r="C218" s="112" t="s">
        <v>36</v>
      </c>
      <c r="D218" s="279" t="str">
        <f>' kom 2021'!C330</f>
        <v>-</v>
      </c>
      <c r="E218" s="279" t="str">
        <f>' kom 2021'!D330</f>
        <v>-</v>
      </c>
      <c r="F218" s="279" t="str">
        <f>' kom 2021'!E330</f>
        <v>-</v>
      </c>
      <c r="G218" s="283" t="s">
        <v>12</v>
      </c>
      <c r="H218" s="283" t="s">
        <v>12</v>
      </c>
      <c r="I218" s="279" t="str">
        <f>' kom 2021'!H330</f>
        <v>-</v>
      </c>
      <c r="J218" s="70" t="str">
        <f>' kom 2021'!I330</f>
        <v>-</v>
      </c>
      <c r="K218" s="24"/>
    </row>
    <row r="219" spans="2:11" ht="24.95" customHeight="1" x14ac:dyDescent="0.2">
      <c r="B219" s="57">
        <v>12</v>
      </c>
      <c r="C219" s="130" t="s">
        <v>86</v>
      </c>
      <c r="D219" s="279">
        <f>' kom 2021'!C882</f>
        <v>0</v>
      </c>
      <c r="E219" s="279">
        <f>' kom 2021'!D882</f>
        <v>0</v>
      </c>
      <c r="F219" s="279">
        <f>' kom 2021'!E882</f>
        <v>0</v>
      </c>
      <c r="G219" s="286" t="s">
        <v>12</v>
      </c>
      <c r="H219" s="286" t="s">
        <v>12</v>
      </c>
      <c r="I219" s="279">
        <f>' kom 2021'!H882</f>
        <v>0</v>
      </c>
      <c r="J219" s="70">
        <f>' kom 2021'!I882</f>
        <v>0</v>
      </c>
      <c r="K219" s="117"/>
    </row>
    <row r="220" spans="2:11" ht="24.95" customHeight="1" x14ac:dyDescent="0.2">
      <c r="B220" s="57">
        <v>13</v>
      </c>
      <c r="C220" s="112" t="s">
        <v>87</v>
      </c>
      <c r="D220" s="279">
        <f>' kom 2021'!C883</f>
        <v>0</v>
      </c>
      <c r="E220" s="279">
        <f>' kom 2021'!D883</f>
        <v>0</v>
      </c>
      <c r="F220" s="279">
        <f>' kom 2021'!E883</f>
        <v>0</v>
      </c>
      <c r="G220" s="286" t="s">
        <v>12</v>
      </c>
      <c r="H220" s="286" t="s">
        <v>12</v>
      </c>
      <c r="I220" s="279">
        <f>' kom 2021'!H883</f>
        <v>0</v>
      </c>
      <c r="J220" s="70">
        <f>' kom 2021'!I883</f>
        <v>0</v>
      </c>
      <c r="K220" s="24"/>
    </row>
    <row r="221" spans="2:11" ht="24.95" customHeight="1" x14ac:dyDescent="0.2">
      <c r="B221" s="57">
        <v>14</v>
      </c>
      <c r="C221" s="95" t="s">
        <v>33</v>
      </c>
      <c r="D221" s="279">
        <f>' kom 2021'!C811</f>
        <v>0</v>
      </c>
      <c r="E221" s="279">
        <f>' kom 2021'!D811</f>
        <v>0</v>
      </c>
      <c r="F221" s="279">
        <f>' kom 2021'!E811</f>
        <v>0</v>
      </c>
      <c r="G221" s="286" t="s">
        <v>12</v>
      </c>
      <c r="H221" s="286" t="s">
        <v>12</v>
      </c>
      <c r="I221" s="279">
        <f>' kom 2021'!H811</f>
        <v>0</v>
      </c>
      <c r="J221" s="70">
        <f>' kom 2021'!I811</f>
        <v>0</v>
      </c>
      <c r="K221" s="24"/>
    </row>
    <row r="222" spans="2:11" ht="24.95" customHeight="1" x14ac:dyDescent="0.2">
      <c r="B222" s="57">
        <v>15</v>
      </c>
      <c r="C222" s="95" t="s">
        <v>88</v>
      </c>
      <c r="D222" s="279">
        <f>' kom 2021'!C812</f>
        <v>0</v>
      </c>
      <c r="E222" s="279">
        <f>' kom 2021'!D812</f>
        <v>0</v>
      </c>
      <c r="F222" s="279">
        <f>' kom 2021'!E812</f>
        <v>0</v>
      </c>
      <c r="G222" s="286" t="s">
        <v>12</v>
      </c>
      <c r="H222" s="286" t="s">
        <v>12</v>
      </c>
      <c r="I222" s="279">
        <f>' kom 2021'!H812</f>
        <v>0</v>
      </c>
      <c r="J222" s="70">
        <f>' kom 2021'!I812</f>
        <v>0</v>
      </c>
      <c r="K222" s="24"/>
    </row>
    <row r="223" spans="2:11" ht="24.95" customHeight="1" thickBot="1" x14ac:dyDescent="0.25">
      <c r="B223" s="60">
        <v>16</v>
      </c>
      <c r="C223" s="134" t="s">
        <v>84</v>
      </c>
      <c r="D223" s="305" t="s">
        <v>12</v>
      </c>
      <c r="E223" s="305" t="s">
        <v>12</v>
      </c>
      <c r="F223" s="305" t="s">
        <v>12</v>
      </c>
      <c r="G223" s="305" t="s">
        <v>12</v>
      </c>
      <c r="H223" s="305" t="s">
        <v>12</v>
      </c>
      <c r="I223" s="305" t="s">
        <v>12</v>
      </c>
      <c r="J223" s="306" t="s">
        <v>12</v>
      </c>
      <c r="K223" s="142"/>
    </row>
    <row r="224" spans="2:11" ht="24.95" customHeight="1" thickTop="1" x14ac:dyDescent="0.2"/>
    <row r="225" spans="2:11" ht="16.5" customHeight="1" x14ac:dyDescent="0.2">
      <c r="H225" s="296" t="s">
        <v>4</v>
      </c>
      <c r="I225" s="421" t="s">
        <v>63</v>
      </c>
      <c r="J225" s="421"/>
      <c r="K225" s="421"/>
    </row>
    <row r="226" spans="2:11" ht="16.5" customHeight="1" x14ac:dyDescent="0.2">
      <c r="H226" s="298" t="s">
        <v>5</v>
      </c>
      <c r="I226" s="421" t="s">
        <v>64</v>
      </c>
      <c r="J226" s="421"/>
      <c r="K226" s="421"/>
    </row>
    <row r="227" spans="2:11" ht="16.5" customHeight="1" x14ac:dyDescent="0.2">
      <c r="H227" s="296" t="s">
        <v>6</v>
      </c>
      <c r="I227" s="421" t="s">
        <v>65</v>
      </c>
      <c r="J227" s="421"/>
      <c r="K227" s="421"/>
    </row>
    <row r="228" spans="2:11" ht="24.95" customHeight="1" x14ac:dyDescent="0.2">
      <c r="H228" s="410"/>
      <c r="I228" s="410"/>
      <c r="J228" s="410"/>
      <c r="K228" s="410"/>
    </row>
    <row r="229" spans="2:11" ht="24.95" customHeight="1" x14ac:dyDescent="0.2">
      <c r="C229" s="218" t="s">
        <v>102</v>
      </c>
      <c r="D229" s="299"/>
      <c r="E229" s="299"/>
      <c r="F229" s="299"/>
      <c r="H229" s="412" t="s">
        <v>99</v>
      </c>
      <c r="I229" s="412"/>
      <c r="J229" s="412"/>
      <c r="K229" s="412"/>
    </row>
    <row r="230" spans="2:11" ht="24.95" customHeight="1" x14ac:dyDescent="0.2">
      <c r="C230" s="125"/>
      <c r="D230" s="299"/>
      <c r="E230" s="299"/>
      <c r="F230" s="299"/>
      <c r="H230" s="412"/>
      <c r="I230" s="412"/>
      <c r="J230" s="412"/>
      <c r="K230" s="412"/>
    </row>
    <row r="231" spans="2:11" ht="9.75" customHeight="1" x14ac:dyDescent="0.2">
      <c r="C231" s="124"/>
      <c r="D231" s="299"/>
      <c r="E231" s="299"/>
      <c r="F231" s="299"/>
      <c r="H231" s="299"/>
      <c r="I231" s="299"/>
      <c r="J231" s="300"/>
      <c r="K231" s="124"/>
    </row>
    <row r="232" spans="2:11" ht="12.75" customHeight="1" x14ac:dyDescent="0.2">
      <c r="C232" s="124"/>
      <c r="D232" s="299"/>
      <c r="E232" s="299"/>
      <c r="F232" s="299"/>
      <c r="H232" s="299"/>
      <c r="I232" s="299"/>
      <c r="J232" s="300"/>
      <c r="K232" s="124"/>
    </row>
    <row r="233" spans="2:11" ht="25.5" customHeight="1" x14ac:dyDescent="0.25">
      <c r="C233" s="221" t="s">
        <v>107</v>
      </c>
      <c r="D233" s="301"/>
      <c r="E233" s="301"/>
      <c r="F233" s="301"/>
      <c r="H233" s="407" t="s">
        <v>163</v>
      </c>
      <c r="I233" s="407"/>
      <c r="J233" s="407"/>
      <c r="K233" s="407"/>
    </row>
    <row r="234" spans="2:11" ht="14.25" customHeight="1" x14ac:dyDescent="0.2">
      <c r="C234" s="47"/>
      <c r="H234" s="409" t="s">
        <v>164</v>
      </c>
      <c r="I234" s="410"/>
      <c r="J234" s="410"/>
      <c r="K234" s="410"/>
    </row>
    <row r="235" spans="2:11" ht="182.25" customHeight="1" x14ac:dyDescent="0.2">
      <c r="C235" s="47"/>
      <c r="H235" s="316"/>
      <c r="I235" s="317"/>
      <c r="J235" s="317"/>
      <c r="K235" s="317"/>
    </row>
    <row r="236" spans="2:11" ht="17.25" customHeight="1" x14ac:dyDescent="0.2">
      <c r="C236" s="47"/>
      <c r="H236" s="404"/>
      <c r="I236" s="405"/>
      <c r="J236" s="405"/>
      <c r="K236" s="405"/>
    </row>
    <row r="237" spans="2:11" ht="24.95" customHeight="1" x14ac:dyDescent="0.2">
      <c r="B237" s="422" t="s">
        <v>165</v>
      </c>
      <c r="C237" s="422"/>
      <c r="D237" s="422"/>
      <c r="E237" s="422"/>
      <c r="F237" s="422"/>
      <c r="G237" s="422"/>
      <c r="H237" s="422"/>
      <c r="I237" s="422"/>
      <c r="J237" s="422"/>
      <c r="K237" s="422"/>
    </row>
    <row r="238" spans="2:11" ht="24.95" customHeight="1" x14ac:dyDescent="0.2">
      <c r="B238" s="422" t="s">
        <v>53</v>
      </c>
      <c r="C238" s="422"/>
      <c r="D238" s="422"/>
      <c r="E238" s="422"/>
      <c r="F238" s="422"/>
      <c r="G238" s="422"/>
      <c r="H238" s="422"/>
      <c r="I238" s="422"/>
      <c r="J238" s="422"/>
      <c r="K238" s="422"/>
    </row>
    <row r="239" spans="2:11" ht="24.95" customHeight="1" x14ac:dyDescent="0.2">
      <c r="B239" s="422" t="s">
        <v>166</v>
      </c>
      <c r="C239" s="422"/>
      <c r="D239" s="422"/>
      <c r="E239" s="422"/>
      <c r="F239" s="422"/>
      <c r="G239" s="422"/>
      <c r="H239" s="422"/>
      <c r="I239" s="422"/>
      <c r="J239" s="422"/>
      <c r="K239" s="422"/>
    </row>
    <row r="240" spans="2:11" ht="24.95" customHeight="1" x14ac:dyDescent="0.3">
      <c r="B240" s="43"/>
      <c r="C240" s="43"/>
      <c r="D240" s="274"/>
      <c r="E240" s="274"/>
      <c r="F240" s="274"/>
      <c r="G240" s="274"/>
      <c r="H240" s="274"/>
      <c r="I240" s="274"/>
      <c r="J240" s="272"/>
      <c r="K240" s="43"/>
    </row>
    <row r="241" spans="2:11" ht="24.95" customHeight="1" x14ac:dyDescent="0.2">
      <c r="B241" t="s">
        <v>37</v>
      </c>
      <c r="D241" s="289" t="s">
        <v>56</v>
      </c>
    </row>
    <row r="242" spans="2:11" ht="24.95" customHeight="1" thickBot="1" x14ac:dyDescent="0.25"/>
    <row r="243" spans="2:11" ht="24.95" customHeight="1" thickTop="1" x14ac:dyDescent="0.2">
      <c r="B243" s="423" t="s">
        <v>2</v>
      </c>
      <c r="C243" s="426" t="s">
        <v>24</v>
      </c>
      <c r="D243" s="429" t="s">
        <v>25</v>
      </c>
      <c r="E243" s="430"/>
      <c r="F243" s="431"/>
      <c r="G243" s="432" t="s">
        <v>7</v>
      </c>
      <c r="H243" s="432" t="s">
        <v>8</v>
      </c>
      <c r="I243" s="432" t="s">
        <v>9</v>
      </c>
      <c r="J243" s="435" t="s">
        <v>10</v>
      </c>
      <c r="K243" s="438" t="s">
        <v>11</v>
      </c>
    </row>
    <row r="244" spans="2:11" ht="24.95" customHeight="1" x14ac:dyDescent="0.2">
      <c r="B244" s="424"/>
      <c r="C244" s="427"/>
      <c r="D244" s="441" t="s">
        <v>4</v>
      </c>
      <c r="E244" s="443" t="s">
        <v>5</v>
      </c>
      <c r="F244" s="445" t="s">
        <v>6</v>
      </c>
      <c r="G244" s="433"/>
      <c r="H244" s="433"/>
      <c r="I244" s="433"/>
      <c r="J244" s="436"/>
      <c r="K244" s="439"/>
    </row>
    <row r="245" spans="2:11" ht="24.95" customHeight="1" thickBot="1" x14ac:dyDescent="0.25">
      <c r="B245" s="425"/>
      <c r="C245" s="428"/>
      <c r="D245" s="442"/>
      <c r="E245" s="444"/>
      <c r="F245" s="446"/>
      <c r="G245" s="434"/>
      <c r="H245" s="434"/>
      <c r="I245" s="434"/>
      <c r="J245" s="437"/>
      <c r="K245" s="440"/>
    </row>
    <row r="246" spans="2:11" ht="24.95" customHeight="1" thickTop="1" thickBot="1" x14ac:dyDescent="0.3">
      <c r="B246" s="5">
        <v>1</v>
      </c>
      <c r="C246" s="6">
        <v>2</v>
      </c>
      <c r="D246" s="275">
        <v>3</v>
      </c>
      <c r="E246" s="275">
        <v>4</v>
      </c>
      <c r="F246" s="275">
        <v>5</v>
      </c>
      <c r="G246" s="275">
        <v>6</v>
      </c>
      <c r="H246" s="275">
        <v>7</v>
      </c>
      <c r="I246" s="275">
        <v>8</v>
      </c>
      <c r="J246" s="109">
        <v>9</v>
      </c>
      <c r="K246" s="7">
        <v>10</v>
      </c>
    </row>
    <row r="247" spans="2:11" ht="24.95" customHeight="1" thickTop="1" x14ac:dyDescent="0.2">
      <c r="B247" s="63">
        <v>1</v>
      </c>
      <c r="C247" s="111" t="s">
        <v>26</v>
      </c>
      <c r="D247" s="281" t="str">
        <f>' kom 2021'!C16</f>
        <v>-</v>
      </c>
      <c r="E247" s="281" t="str">
        <f>' kom 2021'!D16</f>
        <v>-</v>
      </c>
      <c r="F247" s="284" t="str">
        <f>' kom 2021'!E16</f>
        <v>-</v>
      </c>
      <c r="G247" s="285" t="s">
        <v>12</v>
      </c>
      <c r="H247" s="285" t="s">
        <v>12</v>
      </c>
      <c r="I247" s="281" t="str">
        <f>' kom 2021'!H16</f>
        <v>-</v>
      </c>
      <c r="J247" s="85" t="str">
        <f>' kom 2021'!I16</f>
        <v>-</v>
      </c>
      <c r="K247" s="32"/>
    </row>
    <row r="248" spans="2:11" ht="24.95" customHeight="1" x14ac:dyDescent="0.2">
      <c r="B248" s="57">
        <v>2</v>
      </c>
      <c r="C248" s="112" t="s">
        <v>27</v>
      </c>
      <c r="D248" s="279">
        <f>' kom 2021'!C63</f>
        <v>533</v>
      </c>
      <c r="E248" s="279">
        <f>' kom 2021'!D63</f>
        <v>713.5</v>
      </c>
      <c r="F248" s="280">
        <f>' kom 2021'!E63</f>
        <v>10.5</v>
      </c>
      <c r="G248" s="279">
        <f t="shared" ref="G248:G250" si="24">F248+E248+D248</f>
        <v>1257</v>
      </c>
      <c r="H248" s="279">
        <f t="shared" ref="H248" si="25">I248/1000*E248</f>
        <v>2465.8559999999998</v>
      </c>
      <c r="I248" s="279">
        <f>' kom 2021'!H63</f>
        <v>3456</v>
      </c>
      <c r="J248" s="79">
        <f>' kom 2021'!I63</f>
        <v>804</v>
      </c>
      <c r="K248" s="24"/>
    </row>
    <row r="249" spans="2:11" ht="24.95" customHeight="1" x14ac:dyDescent="0.2">
      <c r="B249" s="57">
        <v>3</v>
      </c>
      <c r="C249" s="112" t="s">
        <v>28</v>
      </c>
      <c r="D249" s="279">
        <f>' kom 2021'!C193</f>
        <v>68</v>
      </c>
      <c r="E249" s="279">
        <f>' kom 2021'!D193</f>
        <v>97</v>
      </c>
      <c r="F249" s="279">
        <f>' kom 2021'!E193</f>
        <v>5</v>
      </c>
      <c r="G249" s="279">
        <f>E249+D249+F249</f>
        <v>170</v>
      </c>
      <c r="H249" s="279">
        <f>I249/1000*E249</f>
        <v>87.3</v>
      </c>
      <c r="I249" s="279">
        <f>' kom 2021'!H193</f>
        <v>900</v>
      </c>
      <c r="J249" s="79">
        <f>' kom 2021'!I193</f>
        <v>235</v>
      </c>
      <c r="K249" s="19"/>
    </row>
    <row r="250" spans="2:11" ht="24.95" customHeight="1" x14ac:dyDescent="0.2">
      <c r="B250" s="57">
        <v>4</v>
      </c>
      <c r="C250" s="112" t="s">
        <v>29</v>
      </c>
      <c r="D250" s="279">
        <v>0</v>
      </c>
      <c r="E250" s="279">
        <v>0</v>
      </c>
      <c r="F250" s="279">
        <v>0</v>
      </c>
      <c r="G250" s="279">
        <f t="shared" si="24"/>
        <v>0</v>
      </c>
      <c r="H250" s="279">
        <v>0</v>
      </c>
      <c r="I250" s="287">
        <v>0</v>
      </c>
      <c r="J250" s="70" t="s">
        <v>12</v>
      </c>
      <c r="K250" s="19"/>
    </row>
    <row r="251" spans="2:11" ht="24.95" customHeight="1" x14ac:dyDescent="0.2">
      <c r="B251" s="57">
        <v>5</v>
      </c>
      <c r="C251" s="112" t="s">
        <v>30</v>
      </c>
      <c r="D251" s="279">
        <f>' kom 2021'!C146</f>
        <v>10</v>
      </c>
      <c r="E251" s="279">
        <f>' kom 2021'!D146</f>
        <v>29</v>
      </c>
      <c r="F251" s="279" t="str">
        <f>' kom 2021'!E146</f>
        <v>-</v>
      </c>
      <c r="G251" s="279">
        <f>E251+D251</f>
        <v>39</v>
      </c>
      <c r="H251" s="279">
        <f t="shared" ref="H251" si="26">I251/1000*E251</f>
        <v>11.600000000000001</v>
      </c>
      <c r="I251" s="279">
        <f>' kom 2021'!H146</f>
        <v>400</v>
      </c>
      <c r="J251" s="79">
        <f>' kom 2021'!I146</f>
        <v>103</v>
      </c>
      <c r="K251" s="19"/>
    </row>
    <row r="252" spans="2:11" ht="24.95" customHeight="1" x14ac:dyDescent="0.2">
      <c r="B252" s="57">
        <v>6</v>
      </c>
      <c r="C252" s="112" t="s">
        <v>31</v>
      </c>
      <c r="D252" s="279">
        <f>' kom 2021'!C419</f>
        <v>0</v>
      </c>
      <c r="E252" s="279">
        <f>' kom 2021'!D419</f>
        <v>0</v>
      </c>
      <c r="F252" s="282" t="s">
        <v>12</v>
      </c>
      <c r="G252" s="283" t="s">
        <v>12</v>
      </c>
      <c r="H252" s="283" t="s">
        <v>12</v>
      </c>
      <c r="I252" s="279">
        <f>' kom 2021'!H419</f>
        <v>0</v>
      </c>
      <c r="J252" s="79">
        <f>' kom 2021'!I419</f>
        <v>0</v>
      </c>
      <c r="K252" s="19"/>
    </row>
    <row r="253" spans="2:11" ht="24.95" customHeight="1" x14ac:dyDescent="0.2">
      <c r="B253" s="57">
        <v>7</v>
      </c>
      <c r="C253" s="112" t="s">
        <v>32</v>
      </c>
      <c r="D253" s="279" t="str">
        <f>' kom 2021'!C101</f>
        <v>-</v>
      </c>
      <c r="E253" s="279" t="str">
        <f>' kom 2021'!D101</f>
        <v>-</v>
      </c>
      <c r="F253" s="280" t="str">
        <f>' kom 2021'!E101</f>
        <v>-</v>
      </c>
      <c r="G253" s="283" t="s">
        <v>12</v>
      </c>
      <c r="H253" s="283" t="s">
        <v>12</v>
      </c>
      <c r="I253" s="279" t="str">
        <f>' kom 2021'!H101</f>
        <v>-</v>
      </c>
      <c r="J253" s="79" t="str">
        <f>' kom 2021'!I101</f>
        <v>-</v>
      </c>
      <c r="K253" s="32"/>
    </row>
    <row r="254" spans="2:11" ht="24.95" customHeight="1" x14ac:dyDescent="0.2">
      <c r="B254" s="57">
        <v>8</v>
      </c>
      <c r="C254" s="112" t="s">
        <v>49</v>
      </c>
      <c r="D254" s="279" t="str">
        <f>' kom 2021'!C456</f>
        <v>-</v>
      </c>
      <c r="E254" s="279" t="str">
        <f>' kom 2021'!D456</f>
        <v>-</v>
      </c>
      <c r="F254" s="280">
        <f>' kom 2021'!E456</f>
        <v>0</v>
      </c>
      <c r="G254" s="279" t="str">
        <f>' kom 2021'!F456</f>
        <v>-</v>
      </c>
      <c r="H254" s="279" t="str">
        <f>' kom 2021'!G456</f>
        <v>-</v>
      </c>
      <c r="I254" s="287" t="str">
        <f>' kom 2021'!H456</f>
        <v>-</v>
      </c>
      <c r="J254" s="79" t="str">
        <f>' kom 2021'!I456</f>
        <v>-</v>
      </c>
      <c r="K254" s="19"/>
    </row>
    <row r="255" spans="2:11" ht="24.95" customHeight="1" x14ac:dyDescent="0.2">
      <c r="B255" s="57">
        <v>9</v>
      </c>
      <c r="C255" s="112" t="s">
        <v>34</v>
      </c>
      <c r="D255" s="279" t="str">
        <f>' kom 2021'!C376</f>
        <v>-</v>
      </c>
      <c r="E255" s="279">
        <f>' kom 2021'!D376</f>
        <v>0</v>
      </c>
      <c r="F255" s="279">
        <f>' kom 2021'!E376</f>
        <v>0</v>
      </c>
      <c r="G255" s="283" t="s">
        <v>12</v>
      </c>
      <c r="H255" s="279">
        <v>0</v>
      </c>
      <c r="I255" s="279">
        <f>' kom 2021'!H376</f>
        <v>0</v>
      </c>
      <c r="J255" s="70" t="str">
        <f>' kom 2021'!I376</f>
        <v>-</v>
      </c>
      <c r="K255" s="19"/>
    </row>
    <row r="256" spans="2:11" ht="24.95" customHeight="1" x14ac:dyDescent="0.2">
      <c r="B256" s="57">
        <v>10</v>
      </c>
      <c r="C256" s="112" t="s">
        <v>35</v>
      </c>
      <c r="D256" s="279">
        <f>' kom 2021'!C240</f>
        <v>20</v>
      </c>
      <c r="E256" s="279">
        <f>' kom 2021'!D240</f>
        <v>8</v>
      </c>
      <c r="F256" s="279">
        <f>' kom 2021'!E240</f>
        <v>7</v>
      </c>
      <c r="G256" s="279">
        <f t="shared" ref="G256" si="27">F256+E256+D256</f>
        <v>35</v>
      </c>
      <c r="H256" s="279">
        <f t="shared" ref="H256" si="28">I256/1000*E256</f>
        <v>2.992</v>
      </c>
      <c r="I256" s="279">
        <f>' kom 2021'!H240</f>
        <v>374</v>
      </c>
      <c r="J256" s="79">
        <f>' kom 2021'!I240</f>
        <v>80</v>
      </c>
      <c r="K256" s="19"/>
    </row>
    <row r="257" spans="2:11" ht="24.95" customHeight="1" x14ac:dyDescent="0.2">
      <c r="B257" s="57">
        <v>11</v>
      </c>
      <c r="C257" s="112" t="s">
        <v>36</v>
      </c>
      <c r="D257" s="279" t="str">
        <f>' kom 2021'!C331</f>
        <v>-</v>
      </c>
      <c r="E257" s="279" t="str">
        <f>' kom 2021'!D331</f>
        <v>-</v>
      </c>
      <c r="F257" s="279" t="str">
        <f>' kom 2021'!E331</f>
        <v>-</v>
      </c>
      <c r="G257" s="283" t="s">
        <v>12</v>
      </c>
      <c r="H257" s="283" t="s">
        <v>12</v>
      </c>
      <c r="I257" s="279" t="str">
        <f>' kom 2021'!H331</f>
        <v>-</v>
      </c>
      <c r="J257" s="79" t="str">
        <f>' kom 2021'!I331</f>
        <v>-</v>
      </c>
      <c r="K257" s="19"/>
    </row>
    <row r="258" spans="2:11" ht="24.95" customHeight="1" x14ac:dyDescent="0.2">
      <c r="B258" s="57">
        <v>12</v>
      </c>
      <c r="C258" s="130" t="s">
        <v>86</v>
      </c>
      <c r="D258" s="279">
        <f>' kom 2021'!C941</f>
        <v>0</v>
      </c>
      <c r="E258" s="279">
        <f>' kom 2021'!D941</f>
        <v>0</v>
      </c>
      <c r="F258" s="279">
        <f>' kom 2021'!E941</f>
        <v>0</v>
      </c>
      <c r="G258" s="286" t="s">
        <v>12</v>
      </c>
      <c r="H258" s="286" t="s">
        <v>12</v>
      </c>
      <c r="I258" s="279">
        <f>' kom 2021'!H941</f>
        <v>0</v>
      </c>
      <c r="J258" s="70">
        <f>' kom 2021'!I941</f>
        <v>0</v>
      </c>
      <c r="K258" s="117"/>
    </row>
    <row r="259" spans="2:11" ht="24.95" customHeight="1" x14ac:dyDescent="0.2">
      <c r="B259" s="57">
        <v>13</v>
      </c>
      <c r="C259" s="112" t="s">
        <v>87</v>
      </c>
      <c r="D259" s="279">
        <f>' kom 2021'!C942</f>
        <v>0</v>
      </c>
      <c r="E259" s="279">
        <f>' kom 2021'!D942</f>
        <v>0</v>
      </c>
      <c r="F259" s="279">
        <f>' kom 2021'!E942</f>
        <v>0</v>
      </c>
      <c r="G259" s="286" t="s">
        <v>12</v>
      </c>
      <c r="H259" s="286" t="s">
        <v>12</v>
      </c>
      <c r="I259" s="279">
        <f>' kom 2021'!H942</f>
        <v>0</v>
      </c>
      <c r="J259" s="70">
        <f>' kom 2021'!I942</f>
        <v>0</v>
      </c>
      <c r="K259" s="19"/>
    </row>
    <row r="260" spans="2:11" ht="24.95" customHeight="1" x14ac:dyDescent="0.2">
      <c r="B260" s="57">
        <v>14</v>
      </c>
      <c r="C260" s="95" t="s">
        <v>33</v>
      </c>
      <c r="D260" s="279">
        <f>' kom 2021'!C870</f>
        <v>0</v>
      </c>
      <c r="E260" s="279">
        <f>' kom 2021'!D870</f>
        <v>0</v>
      </c>
      <c r="F260" s="279">
        <f>' kom 2021'!E870</f>
        <v>0</v>
      </c>
      <c r="G260" s="286" t="s">
        <v>12</v>
      </c>
      <c r="H260" s="286" t="s">
        <v>12</v>
      </c>
      <c r="I260" s="279">
        <f>' kom 2021'!H870</f>
        <v>0</v>
      </c>
      <c r="J260" s="70">
        <f>' kom 2021'!I870</f>
        <v>0</v>
      </c>
      <c r="K260" s="19"/>
    </row>
    <row r="261" spans="2:11" ht="24.95" customHeight="1" x14ac:dyDescent="0.2">
      <c r="B261" s="57">
        <v>15</v>
      </c>
      <c r="C261" s="95" t="s">
        <v>88</v>
      </c>
      <c r="D261" s="279">
        <f>' kom 2021'!C871</f>
        <v>0</v>
      </c>
      <c r="E261" s="279">
        <f>' kom 2021'!D871</f>
        <v>0</v>
      </c>
      <c r="F261" s="279">
        <f>' kom 2021'!E871</f>
        <v>0</v>
      </c>
      <c r="G261" s="286" t="s">
        <v>12</v>
      </c>
      <c r="H261" s="286" t="s">
        <v>12</v>
      </c>
      <c r="I261" s="279">
        <f>' kom 2021'!H871</f>
        <v>0</v>
      </c>
      <c r="J261" s="70">
        <f>' kom 2021'!I871</f>
        <v>0</v>
      </c>
      <c r="K261" s="19"/>
    </row>
    <row r="262" spans="2:11" ht="24.95" customHeight="1" thickBot="1" x14ac:dyDescent="0.25">
      <c r="B262" s="60">
        <v>16</v>
      </c>
      <c r="C262" s="134" t="s">
        <v>84</v>
      </c>
      <c r="D262" s="288" t="s">
        <v>12</v>
      </c>
      <c r="E262" s="288" t="s">
        <v>12</v>
      </c>
      <c r="F262" s="288" t="s">
        <v>12</v>
      </c>
      <c r="G262" s="288" t="s">
        <v>12</v>
      </c>
      <c r="H262" s="288" t="s">
        <v>12</v>
      </c>
      <c r="I262" s="288" t="s">
        <v>12</v>
      </c>
      <c r="J262" s="141" t="s">
        <v>12</v>
      </c>
      <c r="K262" s="42"/>
    </row>
    <row r="263" spans="2:11" ht="24.95" customHeight="1" thickTop="1" x14ac:dyDescent="0.2"/>
    <row r="264" spans="2:11" ht="17.25" customHeight="1" x14ac:dyDescent="0.2">
      <c r="H264" s="296" t="s">
        <v>4</v>
      </c>
      <c r="I264" s="421" t="s">
        <v>63</v>
      </c>
      <c r="J264" s="421"/>
      <c r="K264" s="421"/>
    </row>
    <row r="265" spans="2:11" ht="17.25" customHeight="1" x14ac:dyDescent="0.2">
      <c r="H265" s="298" t="s">
        <v>5</v>
      </c>
      <c r="I265" s="421" t="s">
        <v>64</v>
      </c>
      <c r="J265" s="421"/>
      <c r="K265" s="421"/>
    </row>
    <row r="266" spans="2:11" ht="17.25" customHeight="1" x14ac:dyDescent="0.2">
      <c r="H266" s="296" t="s">
        <v>6</v>
      </c>
      <c r="I266" s="421" t="s">
        <v>65</v>
      </c>
      <c r="J266" s="421"/>
      <c r="K266" s="421"/>
    </row>
    <row r="267" spans="2:11" ht="17.25" customHeight="1" x14ac:dyDescent="0.2">
      <c r="H267" s="410"/>
      <c r="I267" s="410"/>
      <c r="J267" s="410"/>
      <c r="K267" s="410"/>
    </row>
    <row r="268" spans="2:11" ht="24.95" customHeight="1" x14ac:dyDescent="0.2">
      <c r="C268" s="218" t="s">
        <v>102</v>
      </c>
      <c r="D268" s="299"/>
      <c r="E268" s="299"/>
      <c r="F268" s="299"/>
      <c r="H268" s="412" t="s">
        <v>99</v>
      </c>
      <c r="I268" s="412"/>
      <c r="J268" s="412"/>
      <c r="K268" s="412"/>
    </row>
    <row r="269" spans="2:11" ht="16.5" customHeight="1" x14ac:dyDescent="0.2">
      <c r="C269" s="125"/>
      <c r="D269" s="299"/>
      <c r="E269" s="299"/>
      <c r="F269" s="299"/>
      <c r="H269" s="299"/>
      <c r="I269" s="299"/>
      <c r="J269" s="300"/>
      <c r="K269" s="125"/>
    </row>
    <row r="270" spans="2:11" ht="12" customHeight="1" x14ac:dyDescent="0.2">
      <c r="C270" s="124"/>
      <c r="D270" s="299"/>
      <c r="E270" s="299"/>
      <c r="F270" s="299"/>
      <c r="H270" s="299"/>
      <c r="I270" s="299"/>
      <c r="J270" s="300"/>
      <c r="K270" s="124"/>
    </row>
    <row r="271" spans="2:11" ht="18" customHeight="1" x14ac:dyDescent="0.2">
      <c r="C271" s="124"/>
      <c r="D271" s="299"/>
      <c r="E271" s="299"/>
      <c r="F271" s="299"/>
      <c r="H271" s="299"/>
      <c r="I271" s="299"/>
      <c r="J271" s="300"/>
      <c r="K271" s="124"/>
    </row>
    <row r="272" spans="2:11" ht="24.95" customHeight="1" x14ac:dyDescent="0.25">
      <c r="C272" s="221" t="s">
        <v>101</v>
      </c>
      <c r="D272" s="301"/>
      <c r="E272" s="301"/>
      <c r="F272" s="301"/>
      <c r="H272" s="407" t="s">
        <v>163</v>
      </c>
      <c r="I272" s="407"/>
      <c r="J272" s="407"/>
      <c r="K272" s="407"/>
    </row>
    <row r="273" spans="2:11" ht="15.75" customHeight="1" x14ac:dyDescent="0.2">
      <c r="C273" s="47"/>
      <c r="H273" s="409" t="s">
        <v>164</v>
      </c>
      <c r="I273" s="410"/>
      <c r="J273" s="410"/>
      <c r="K273" s="410"/>
    </row>
    <row r="274" spans="2:11" ht="207.75" customHeight="1" x14ac:dyDescent="0.2">
      <c r="C274" s="47"/>
      <c r="H274" s="316"/>
      <c r="I274" s="317"/>
      <c r="J274" s="317"/>
      <c r="K274" s="317"/>
    </row>
    <row r="275" spans="2:11" ht="15.75" customHeight="1" x14ac:dyDescent="0.2">
      <c r="C275" s="47"/>
      <c r="H275" s="404"/>
      <c r="I275" s="405"/>
      <c r="J275" s="405"/>
      <c r="K275" s="405"/>
    </row>
    <row r="276" spans="2:11" ht="24.95" customHeight="1" x14ac:dyDescent="0.2">
      <c r="B276" s="422" t="s">
        <v>165</v>
      </c>
      <c r="C276" s="422"/>
      <c r="D276" s="422"/>
      <c r="E276" s="422"/>
      <c r="F276" s="422"/>
      <c r="G276" s="422"/>
      <c r="H276" s="422"/>
      <c r="I276" s="422"/>
      <c r="J276" s="422"/>
      <c r="K276" s="422"/>
    </row>
    <row r="277" spans="2:11" ht="24.95" customHeight="1" x14ac:dyDescent="0.2">
      <c r="B277" s="422" t="s">
        <v>53</v>
      </c>
      <c r="C277" s="422"/>
      <c r="D277" s="422"/>
      <c r="E277" s="422"/>
      <c r="F277" s="422"/>
      <c r="G277" s="422"/>
      <c r="H277" s="422"/>
      <c r="I277" s="422"/>
      <c r="J277" s="422"/>
      <c r="K277" s="422"/>
    </row>
    <row r="278" spans="2:11" ht="24.95" customHeight="1" x14ac:dyDescent="0.2">
      <c r="B278" s="422" t="s">
        <v>166</v>
      </c>
      <c r="C278" s="422"/>
      <c r="D278" s="422"/>
      <c r="E278" s="422"/>
      <c r="F278" s="422"/>
      <c r="G278" s="422"/>
      <c r="H278" s="422"/>
      <c r="I278" s="422"/>
      <c r="J278" s="422"/>
      <c r="K278" s="422"/>
    </row>
    <row r="279" spans="2:11" ht="24.95" customHeight="1" x14ac:dyDescent="0.3">
      <c r="B279" s="43"/>
      <c r="C279" s="43"/>
      <c r="D279" s="274"/>
      <c r="E279" s="274"/>
      <c r="F279" s="274"/>
      <c r="G279" s="274"/>
      <c r="H279" s="274"/>
      <c r="I279" s="274"/>
      <c r="J279" s="272"/>
      <c r="K279" s="43"/>
    </row>
    <row r="280" spans="2:11" ht="24.95" customHeight="1" x14ac:dyDescent="0.2">
      <c r="B280" t="s">
        <v>37</v>
      </c>
      <c r="D280" s="289" t="s">
        <v>62</v>
      </c>
    </row>
    <row r="281" spans="2:11" ht="24.95" customHeight="1" thickBot="1" x14ac:dyDescent="0.25"/>
    <row r="282" spans="2:11" ht="24.95" customHeight="1" thickTop="1" x14ac:dyDescent="0.2">
      <c r="B282" s="423" t="s">
        <v>2</v>
      </c>
      <c r="C282" s="426" t="s">
        <v>24</v>
      </c>
      <c r="D282" s="429" t="s">
        <v>25</v>
      </c>
      <c r="E282" s="430"/>
      <c r="F282" s="431"/>
      <c r="G282" s="432" t="s">
        <v>7</v>
      </c>
      <c r="H282" s="432" t="s">
        <v>8</v>
      </c>
      <c r="I282" s="432" t="s">
        <v>9</v>
      </c>
      <c r="J282" s="435" t="s">
        <v>10</v>
      </c>
      <c r="K282" s="438" t="s">
        <v>11</v>
      </c>
    </row>
    <row r="283" spans="2:11" ht="24.95" customHeight="1" x14ac:dyDescent="0.2">
      <c r="B283" s="424"/>
      <c r="C283" s="427"/>
      <c r="D283" s="441" t="s">
        <v>4</v>
      </c>
      <c r="E283" s="443" t="s">
        <v>5</v>
      </c>
      <c r="F283" s="445" t="s">
        <v>6</v>
      </c>
      <c r="G283" s="433"/>
      <c r="H283" s="433"/>
      <c r="I283" s="433"/>
      <c r="J283" s="436"/>
      <c r="K283" s="439"/>
    </row>
    <row r="284" spans="2:11" ht="24.95" customHeight="1" thickBot="1" x14ac:dyDescent="0.25">
      <c r="B284" s="425"/>
      <c r="C284" s="428"/>
      <c r="D284" s="442"/>
      <c r="E284" s="444"/>
      <c r="F284" s="446"/>
      <c r="G284" s="434"/>
      <c r="H284" s="434"/>
      <c r="I284" s="434"/>
      <c r="J284" s="437"/>
      <c r="K284" s="440"/>
    </row>
    <row r="285" spans="2:11" ht="24.95" customHeight="1" thickTop="1" thickBot="1" x14ac:dyDescent="0.3">
      <c r="B285" s="5">
        <v>1</v>
      </c>
      <c r="C285" s="6">
        <v>2</v>
      </c>
      <c r="D285" s="275">
        <v>3</v>
      </c>
      <c r="E285" s="275">
        <v>4</v>
      </c>
      <c r="F285" s="275">
        <v>5</v>
      </c>
      <c r="G285" s="275">
        <v>6</v>
      </c>
      <c r="H285" s="275">
        <v>7</v>
      </c>
      <c r="I285" s="275">
        <v>8</v>
      </c>
      <c r="J285" s="109">
        <v>9</v>
      </c>
      <c r="K285" s="7">
        <v>10</v>
      </c>
    </row>
    <row r="286" spans="2:11" ht="24.95" customHeight="1" thickTop="1" x14ac:dyDescent="0.2">
      <c r="B286" s="63">
        <v>1</v>
      </c>
      <c r="C286" s="111" t="s">
        <v>26</v>
      </c>
      <c r="D286" s="281" t="str">
        <f>' kom 2021'!C17</f>
        <v>-</v>
      </c>
      <c r="E286" s="281" t="str">
        <f>' kom 2021'!D17</f>
        <v>-</v>
      </c>
      <c r="F286" s="281" t="str">
        <f>' kom 2021'!E17</f>
        <v>-</v>
      </c>
      <c r="G286" s="285" t="s">
        <v>12</v>
      </c>
      <c r="H286" s="285" t="s">
        <v>12</v>
      </c>
      <c r="I286" s="281" t="str">
        <f>' kom 2021'!H17</f>
        <v>-</v>
      </c>
      <c r="J286" s="87" t="str">
        <f>' kom 2021'!I17</f>
        <v>-</v>
      </c>
      <c r="K286" s="81"/>
    </row>
    <row r="287" spans="2:11" ht="24.95" customHeight="1" x14ac:dyDescent="0.2">
      <c r="B287" s="57">
        <v>2</v>
      </c>
      <c r="C287" s="112" t="s">
        <v>27</v>
      </c>
      <c r="D287" s="279">
        <f>' kom 2021'!C64</f>
        <v>686</v>
      </c>
      <c r="E287" s="279">
        <f>' kom 2021'!D64</f>
        <v>620</v>
      </c>
      <c r="F287" s="280">
        <f>' kom 2021'!E64</f>
        <v>154</v>
      </c>
      <c r="G287" s="279">
        <f t="shared" ref="G287:G289" si="29">F287+E287+D287</f>
        <v>1460</v>
      </c>
      <c r="H287" s="279">
        <f t="shared" ref="H287:H288" si="30">I287/1000*E287</f>
        <v>2142.7199999999998</v>
      </c>
      <c r="I287" s="279">
        <f>' kom 2021'!H64</f>
        <v>3456</v>
      </c>
      <c r="J287" s="70">
        <f>' kom 2021'!I64</f>
        <v>998</v>
      </c>
      <c r="K287" s="78"/>
    </row>
    <row r="288" spans="2:11" ht="24.95" customHeight="1" x14ac:dyDescent="0.2">
      <c r="B288" s="57">
        <v>3</v>
      </c>
      <c r="C288" s="112" t="s">
        <v>28</v>
      </c>
      <c r="D288" s="279">
        <f>' kom 2021'!C194</f>
        <v>12</v>
      </c>
      <c r="E288" s="279">
        <f>' kom 2021'!D194</f>
        <v>50</v>
      </c>
      <c r="F288" s="279">
        <f>' kom 2021'!E194</f>
        <v>38</v>
      </c>
      <c r="G288" s="279">
        <f t="shared" si="29"/>
        <v>100</v>
      </c>
      <c r="H288" s="279">
        <f t="shared" si="30"/>
        <v>45</v>
      </c>
      <c r="I288" s="279">
        <f>' kom 2021'!H194</f>
        <v>900</v>
      </c>
      <c r="J288" s="70">
        <f>' kom 2021'!I194</f>
        <v>2586</v>
      </c>
      <c r="K288" s="80"/>
    </row>
    <row r="289" spans="2:11" ht="24.95" customHeight="1" x14ac:dyDescent="0.2">
      <c r="B289" s="57">
        <v>4</v>
      </c>
      <c r="C289" s="112" t="s">
        <v>29</v>
      </c>
      <c r="D289" s="279">
        <v>0</v>
      </c>
      <c r="E289" s="279">
        <v>0</v>
      </c>
      <c r="F289" s="279">
        <v>0</v>
      </c>
      <c r="G289" s="279">
        <f t="shared" si="29"/>
        <v>0</v>
      </c>
      <c r="H289" s="279">
        <v>0</v>
      </c>
      <c r="I289" s="287">
        <v>0</v>
      </c>
      <c r="J289" s="70" t="s">
        <v>12</v>
      </c>
      <c r="K289" s="80"/>
    </row>
    <row r="290" spans="2:11" ht="24.95" customHeight="1" x14ac:dyDescent="0.2">
      <c r="B290" s="57">
        <v>5</v>
      </c>
      <c r="C290" s="112" t="s">
        <v>30</v>
      </c>
      <c r="D290" s="279" t="str">
        <f>' kom 2021'!C147</f>
        <v>-</v>
      </c>
      <c r="E290" s="279" t="str">
        <f>' kom 2021'!D147</f>
        <v>-</v>
      </c>
      <c r="F290" s="279" t="str">
        <f>' kom 2021'!E147</f>
        <v>-</v>
      </c>
      <c r="G290" s="283" t="s">
        <v>12</v>
      </c>
      <c r="H290" s="283" t="s">
        <v>12</v>
      </c>
      <c r="I290" s="279" t="str">
        <f>' kom 2021'!H147</f>
        <v>-</v>
      </c>
      <c r="J290" s="70" t="str">
        <f>' kom 2021'!I147</f>
        <v>-</v>
      </c>
      <c r="K290" s="80"/>
    </row>
    <row r="291" spans="2:11" ht="24.95" customHeight="1" x14ac:dyDescent="0.2">
      <c r="B291" s="57">
        <v>6</v>
      </c>
      <c r="C291" s="112" t="s">
        <v>31</v>
      </c>
      <c r="D291" s="279">
        <v>0</v>
      </c>
      <c r="E291" s="283" t="s">
        <v>12</v>
      </c>
      <c r="F291" s="283" t="s">
        <v>12</v>
      </c>
      <c r="G291" s="283" t="s">
        <v>12</v>
      </c>
      <c r="H291" s="283" t="s">
        <v>12</v>
      </c>
      <c r="I291" s="283" t="s">
        <v>12</v>
      </c>
      <c r="J291" s="79" t="s">
        <v>12</v>
      </c>
      <c r="K291" s="80"/>
    </row>
    <row r="292" spans="2:11" ht="24.95" customHeight="1" x14ac:dyDescent="0.2">
      <c r="B292" s="57">
        <v>7</v>
      </c>
      <c r="C292" s="112" t="s">
        <v>32</v>
      </c>
      <c r="D292" s="279" t="str">
        <f>' kom 2021'!C102</f>
        <v>-</v>
      </c>
      <c r="E292" s="279" t="str">
        <f>' kom 2021'!D102</f>
        <v>-</v>
      </c>
      <c r="F292" s="279" t="str">
        <f>' kom 2021'!E102</f>
        <v>-</v>
      </c>
      <c r="G292" s="283" t="s">
        <v>12</v>
      </c>
      <c r="H292" s="283" t="s">
        <v>12</v>
      </c>
      <c r="I292" s="279" t="str">
        <f>' kom 2021'!H102</f>
        <v>-</v>
      </c>
      <c r="J292" s="70" t="str">
        <f>' kom 2021'!I102</f>
        <v>-</v>
      </c>
      <c r="K292" s="81"/>
    </row>
    <row r="293" spans="2:11" ht="24.95" customHeight="1" x14ac:dyDescent="0.2">
      <c r="B293" s="57">
        <v>8</v>
      </c>
      <c r="C293" s="112" t="s">
        <v>49</v>
      </c>
      <c r="D293" s="279" t="str">
        <f>' kom 2021'!C457</f>
        <v>-</v>
      </c>
      <c r="E293" s="279" t="str">
        <f>' kom 2021'!D457</f>
        <v>-</v>
      </c>
      <c r="F293" s="279">
        <f>' kom 2021'!E457</f>
        <v>0</v>
      </c>
      <c r="G293" s="279" t="str">
        <f>' kom 2021'!F457</f>
        <v>-</v>
      </c>
      <c r="H293" s="279" t="str">
        <f>' kom 2021'!G457</f>
        <v>-</v>
      </c>
      <c r="I293" s="287" t="str">
        <f>' kom 2021'!H457</f>
        <v>-</v>
      </c>
      <c r="J293" s="70" t="str">
        <f>' kom 2021'!I457</f>
        <v>-</v>
      </c>
      <c r="K293" s="80"/>
    </row>
    <row r="294" spans="2:11" ht="24.95" customHeight="1" x14ac:dyDescent="0.2">
      <c r="B294" s="57">
        <v>9</v>
      </c>
      <c r="C294" s="112" t="s">
        <v>34</v>
      </c>
      <c r="D294" s="279" t="str">
        <f>' kom 2021'!C377</f>
        <v>-</v>
      </c>
      <c r="E294" s="283">
        <f>' kom 2021'!D377</f>
        <v>0</v>
      </c>
      <c r="F294" s="282" t="s">
        <v>12</v>
      </c>
      <c r="G294" s="283" t="s">
        <v>12</v>
      </c>
      <c r="H294" s="279">
        <f t="shared" ref="H294:H295" si="31">I294/1000*E294</f>
        <v>0</v>
      </c>
      <c r="I294" s="279">
        <f>' kom 2021'!H377</f>
        <v>0</v>
      </c>
      <c r="J294" s="70" t="str">
        <f>' kom 2021'!I377</f>
        <v>-</v>
      </c>
      <c r="K294" s="80"/>
    </row>
    <row r="295" spans="2:11" ht="24.95" customHeight="1" x14ac:dyDescent="0.2">
      <c r="B295" s="57">
        <v>10</v>
      </c>
      <c r="C295" s="112" t="s">
        <v>35</v>
      </c>
      <c r="D295" s="279">
        <f>' kom 2021'!C241</f>
        <v>58</v>
      </c>
      <c r="E295" s="279">
        <f>' kom 2021'!D241</f>
        <v>58</v>
      </c>
      <c r="F295" s="279">
        <f>' kom 2021'!E241</f>
        <v>20</v>
      </c>
      <c r="G295" s="279">
        <f t="shared" ref="G295" si="32">F295+E295+D295</f>
        <v>136</v>
      </c>
      <c r="H295" s="279">
        <f t="shared" si="31"/>
        <v>21.692</v>
      </c>
      <c r="I295" s="279">
        <f>' kom 2021'!H241</f>
        <v>374</v>
      </c>
      <c r="J295" s="70">
        <f>' kom 2021'!I241</f>
        <v>267</v>
      </c>
      <c r="K295" s="80"/>
    </row>
    <row r="296" spans="2:11" ht="24.95" customHeight="1" x14ac:dyDescent="0.2">
      <c r="B296" s="57">
        <v>11</v>
      </c>
      <c r="C296" s="112" t="s">
        <v>36</v>
      </c>
      <c r="D296" s="279" t="str">
        <f>' kom 2021'!C332</f>
        <v>-</v>
      </c>
      <c r="E296" s="279" t="str">
        <f>' kom 2021'!D332</f>
        <v>-</v>
      </c>
      <c r="F296" s="279" t="str">
        <f>' kom 2021'!E332</f>
        <v>-</v>
      </c>
      <c r="G296" s="283" t="s">
        <v>12</v>
      </c>
      <c r="H296" s="283" t="s">
        <v>12</v>
      </c>
      <c r="I296" s="279" t="str">
        <f>' kom 2021'!H332</f>
        <v>-</v>
      </c>
      <c r="J296" s="70" t="str">
        <f>' kom 2021'!I332</f>
        <v>-</v>
      </c>
      <c r="K296" s="80"/>
    </row>
    <row r="297" spans="2:11" ht="24.95" customHeight="1" x14ac:dyDescent="0.2">
      <c r="B297" s="57">
        <v>12</v>
      </c>
      <c r="C297" s="130" t="s">
        <v>86</v>
      </c>
      <c r="D297" s="279">
        <f>' kom 2021'!C999</f>
        <v>0</v>
      </c>
      <c r="E297" s="279">
        <f>' kom 2021'!D999</f>
        <v>0</v>
      </c>
      <c r="F297" s="279">
        <f>' kom 2021'!E999</f>
        <v>0</v>
      </c>
      <c r="G297" s="286" t="s">
        <v>12</v>
      </c>
      <c r="H297" s="286" t="s">
        <v>12</v>
      </c>
      <c r="I297" s="279">
        <f>' kom 2021'!H999</f>
        <v>0</v>
      </c>
      <c r="J297" s="70">
        <f>' kom 2021'!I999</f>
        <v>0</v>
      </c>
      <c r="K297" s="117"/>
    </row>
    <row r="298" spans="2:11" ht="24.95" customHeight="1" x14ac:dyDescent="0.2">
      <c r="B298" s="57">
        <v>13</v>
      </c>
      <c r="C298" s="112" t="s">
        <v>87</v>
      </c>
      <c r="D298" s="286" t="s">
        <v>12</v>
      </c>
      <c r="E298" s="279">
        <f>' kom 2021'!D1000</f>
        <v>0</v>
      </c>
      <c r="F298" s="279">
        <f>' kom 2021'!E1000</f>
        <v>0</v>
      </c>
      <c r="G298" s="286" t="str">
        <f>D298</f>
        <v>-</v>
      </c>
      <c r="H298" s="286" t="s">
        <v>12</v>
      </c>
      <c r="I298" s="279">
        <f>' kom 2021'!H1000</f>
        <v>0</v>
      </c>
      <c r="J298" s="70">
        <f>' kom 2021'!I1000</f>
        <v>0</v>
      </c>
      <c r="K298" s="80"/>
    </row>
    <row r="299" spans="2:11" ht="24.95" customHeight="1" x14ac:dyDescent="0.2">
      <c r="B299" s="57">
        <v>14</v>
      </c>
      <c r="C299" s="95" t="s">
        <v>33</v>
      </c>
      <c r="D299" s="279">
        <f>' kom 2021'!C928</f>
        <v>0</v>
      </c>
      <c r="E299" s="279">
        <f>' kom 2021'!D928</f>
        <v>0</v>
      </c>
      <c r="F299" s="279">
        <f>' kom 2021'!E928</f>
        <v>0</v>
      </c>
      <c r="G299" s="286" t="s">
        <v>12</v>
      </c>
      <c r="H299" s="286" t="s">
        <v>12</v>
      </c>
      <c r="I299" s="279">
        <f>' kom 2021'!H928</f>
        <v>0</v>
      </c>
      <c r="J299" s="70">
        <f>' kom 2021'!I928</f>
        <v>0</v>
      </c>
      <c r="K299" s="80"/>
    </row>
    <row r="300" spans="2:11" ht="24.95" customHeight="1" x14ac:dyDescent="0.2">
      <c r="B300" s="57">
        <v>15</v>
      </c>
      <c r="C300" s="95" t="s">
        <v>88</v>
      </c>
      <c r="D300" s="279">
        <f>' kom 2021'!C616</f>
        <v>0</v>
      </c>
      <c r="E300" s="279">
        <f>' kom 2021'!D929</f>
        <v>0</v>
      </c>
      <c r="F300" s="279">
        <f>' kom 2021'!E929</f>
        <v>0</v>
      </c>
      <c r="G300" s="286">
        <f>D300</f>
        <v>0</v>
      </c>
      <c r="H300" s="286" t="s">
        <v>12</v>
      </c>
      <c r="I300" s="279">
        <f>' kom 2021'!H929</f>
        <v>0</v>
      </c>
      <c r="J300" s="70">
        <f>' kom 2021'!I929</f>
        <v>0</v>
      </c>
      <c r="K300" s="80"/>
    </row>
    <row r="301" spans="2:11" ht="24.95" customHeight="1" thickBot="1" x14ac:dyDescent="0.25">
      <c r="B301" s="60">
        <v>16</v>
      </c>
      <c r="C301" s="134" t="s">
        <v>84</v>
      </c>
      <c r="D301" s="288" t="s">
        <v>12</v>
      </c>
      <c r="E301" s="288" t="s">
        <v>12</v>
      </c>
      <c r="F301" s="288" t="s">
        <v>12</v>
      </c>
      <c r="G301" s="288" t="s">
        <v>12</v>
      </c>
      <c r="H301" s="288" t="s">
        <v>12</v>
      </c>
      <c r="I301" s="288" t="s">
        <v>12</v>
      </c>
      <c r="J301" s="141" t="s">
        <v>12</v>
      </c>
      <c r="K301" s="132"/>
    </row>
    <row r="302" spans="2:11" ht="24.95" customHeight="1" thickTop="1" x14ac:dyDescent="0.2"/>
    <row r="303" spans="2:11" ht="16.5" customHeight="1" x14ac:dyDescent="0.2">
      <c r="H303" s="296" t="s">
        <v>4</v>
      </c>
      <c r="I303" s="421" t="s">
        <v>63</v>
      </c>
      <c r="J303" s="421"/>
      <c r="K303" s="421"/>
    </row>
    <row r="304" spans="2:11" ht="16.5" customHeight="1" x14ac:dyDescent="0.2">
      <c r="H304" s="298" t="s">
        <v>5</v>
      </c>
      <c r="I304" s="421" t="s">
        <v>64</v>
      </c>
      <c r="J304" s="421"/>
      <c r="K304" s="421"/>
    </row>
    <row r="305" spans="2:11" ht="16.5" customHeight="1" x14ac:dyDescent="0.2">
      <c r="H305" s="296" t="s">
        <v>6</v>
      </c>
      <c r="I305" s="421" t="s">
        <v>65</v>
      </c>
      <c r="J305" s="421"/>
      <c r="K305" s="421"/>
    </row>
    <row r="306" spans="2:11" ht="9.75" customHeight="1" x14ac:dyDescent="0.2">
      <c r="H306" s="410"/>
      <c r="I306" s="410"/>
      <c r="J306" s="410"/>
      <c r="K306" s="410"/>
    </row>
    <row r="307" spans="2:11" ht="24.95" customHeight="1" x14ac:dyDescent="0.2">
      <c r="C307" s="218" t="s">
        <v>102</v>
      </c>
      <c r="D307" s="299"/>
      <c r="E307" s="299"/>
      <c r="F307" s="299"/>
      <c r="H307" s="412" t="s">
        <v>99</v>
      </c>
      <c r="I307" s="412"/>
      <c r="J307" s="412"/>
      <c r="K307" s="412"/>
    </row>
    <row r="308" spans="2:11" ht="15.75" customHeight="1" x14ac:dyDescent="0.2">
      <c r="C308" s="125"/>
      <c r="D308" s="299"/>
      <c r="E308" s="299"/>
      <c r="F308" s="299"/>
      <c r="H308" s="412"/>
      <c r="I308" s="412"/>
      <c r="J308" s="412"/>
      <c r="K308" s="412"/>
    </row>
    <row r="309" spans="2:11" ht="12" customHeight="1" x14ac:dyDescent="0.2">
      <c r="C309" s="124"/>
      <c r="D309" s="299"/>
      <c r="E309" s="299"/>
      <c r="F309" s="299"/>
      <c r="H309" s="299"/>
      <c r="I309" s="299"/>
      <c r="J309" s="300"/>
      <c r="K309" s="124"/>
    </row>
    <row r="310" spans="2:11" ht="12.75" customHeight="1" x14ac:dyDescent="0.2">
      <c r="C310" s="124"/>
      <c r="D310" s="299"/>
      <c r="E310" s="299"/>
      <c r="F310" s="299"/>
      <c r="H310" s="299"/>
      <c r="I310" s="299"/>
      <c r="J310" s="300"/>
      <c r="K310" s="124"/>
    </row>
    <row r="311" spans="2:11" ht="24.95" customHeight="1" x14ac:dyDescent="0.25">
      <c r="C311" s="221" t="s">
        <v>108</v>
      </c>
      <c r="D311" s="301"/>
      <c r="E311" s="301"/>
      <c r="F311" s="301"/>
      <c r="H311" s="407" t="s">
        <v>163</v>
      </c>
      <c r="I311" s="407"/>
      <c r="J311" s="407"/>
      <c r="K311" s="407"/>
    </row>
    <row r="312" spans="2:11" ht="15.75" customHeight="1" x14ac:dyDescent="0.2">
      <c r="C312" s="47"/>
      <c r="H312" s="409" t="s">
        <v>164</v>
      </c>
      <c r="I312" s="410"/>
      <c r="J312" s="410"/>
      <c r="K312" s="410"/>
    </row>
    <row r="313" spans="2:11" ht="15.75" customHeight="1" x14ac:dyDescent="0.2">
      <c r="C313" s="47"/>
      <c r="H313" s="316"/>
      <c r="I313" s="317"/>
      <c r="J313" s="317"/>
      <c r="K313" s="317"/>
    </row>
    <row r="314" spans="2:11" ht="204.75" customHeight="1" x14ac:dyDescent="0.2">
      <c r="C314" s="47"/>
      <c r="H314" s="316"/>
      <c r="I314" s="317"/>
      <c r="J314" s="317"/>
      <c r="K314" s="317"/>
    </row>
    <row r="315" spans="2:11" ht="15.75" customHeight="1" x14ac:dyDescent="0.2">
      <c r="C315" s="47"/>
      <c r="H315" s="404"/>
      <c r="I315" s="405"/>
      <c r="J315" s="405"/>
      <c r="K315" s="405"/>
    </row>
    <row r="316" spans="2:11" ht="24.95" customHeight="1" x14ac:dyDescent="0.2">
      <c r="B316" s="422" t="s">
        <v>165</v>
      </c>
      <c r="C316" s="422"/>
      <c r="D316" s="422"/>
      <c r="E316" s="422"/>
      <c r="F316" s="422"/>
      <c r="G316" s="422"/>
      <c r="H316" s="422"/>
      <c r="I316" s="422"/>
      <c r="J316" s="422"/>
      <c r="K316" s="422"/>
    </row>
    <row r="317" spans="2:11" ht="24.95" customHeight="1" x14ac:dyDescent="0.2">
      <c r="B317" s="422" t="s">
        <v>53</v>
      </c>
      <c r="C317" s="422"/>
      <c r="D317" s="422"/>
      <c r="E317" s="422"/>
      <c r="F317" s="422"/>
      <c r="G317" s="422"/>
      <c r="H317" s="422"/>
      <c r="I317" s="422"/>
      <c r="J317" s="422"/>
      <c r="K317" s="422"/>
    </row>
    <row r="318" spans="2:11" ht="24.95" customHeight="1" x14ac:dyDescent="0.2">
      <c r="B318" s="422" t="s">
        <v>166</v>
      </c>
      <c r="C318" s="422"/>
      <c r="D318" s="422"/>
      <c r="E318" s="422"/>
      <c r="F318" s="422"/>
      <c r="G318" s="422"/>
      <c r="H318" s="422"/>
      <c r="I318" s="422"/>
      <c r="J318" s="422"/>
      <c r="K318" s="422"/>
    </row>
    <row r="319" spans="2:11" ht="24.95" customHeight="1" x14ac:dyDescent="0.3">
      <c r="B319" s="43"/>
      <c r="C319" s="43"/>
      <c r="D319" s="274"/>
      <c r="E319" s="274"/>
      <c r="F319" s="274"/>
      <c r="G319" s="274"/>
      <c r="H319" s="274"/>
      <c r="I319" s="274"/>
      <c r="J319" s="272"/>
      <c r="K319" s="43"/>
    </row>
    <row r="320" spans="2:11" ht="24.95" customHeight="1" x14ac:dyDescent="0.2">
      <c r="B320" t="s">
        <v>37</v>
      </c>
      <c r="D320" s="289" t="s">
        <v>57</v>
      </c>
    </row>
    <row r="321" spans="2:11" ht="24.95" customHeight="1" thickBot="1" x14ac:dyDescent="0.25"/>
    <row r="322" spans="2:11" ht="24.95" customHeight="1" thickTop="1" x14ac:dyDescent="0.2">
      <c r="B322" s="423" t="s">
        <v>2</v>
      </c>
      <c r="C322" s="426" t="s">
        <v>24</v>
      </c>
      <c r="D322" s="429" t="s">
        <v>25</v>
      </c>
      <c r="E322" s="430"/>
      <c r="F322" s="431"/>
      <c r="G322" s="432" t="s">
        <v>7</v>
      </c>
      <c r="H322" s="432" t="s">
        <v>8</v>
      </c>
      <c r="I322" s="432" t="s">
        <v>9</v>
      </c>
      <c r="J322" s="435" t="s">
        <v>10</v>
      </c>
      <c r="K322" s="438" t="s">
        <v>11</v>
      </c>
    </row>
    <row r="323" spans="2:11" ht="24.95" customHeight="1" x14ac:dyDescent="0.2">
      <c r="B323" s="424"/>
      <c r="C323" s="427"/>
      <c r="D323" s="443" t="s">
        <v>4</v>
      </c>
      <c r="E323" s="449" t="s">
        <v>5</v>
      </c>
      <c r="F323" s="443" t="s">
        <v>6</v>
      </c>
      <c r="G323" s="433"/>
      <c r="H323" s="433"/>
      <c r="I323" s="433"/>
      <c r="J323" s="436"/>
      <c r="K323" s="439"/>
    </row>
    <row r="324" spans="2:11" ht="24.95" customHeight="1" thickBot="1" x14ac:dyDescent="0.25">
      <c r="B324" s="425"/>
      <c r="C324" s="428"/>
      <c r="D324" s="444"/>
      <c r="E324" s="450"/>
      <c r="F324" s="444"/>
      <c r="G324" s="434"/>
      <c r="H324" s="434"/>
      <c r="I324" s="434"/>
      <c r="J324" s="437"/>
      <c r="K324" s="440"/>
    </row>
    <row r="325" spans="2:11" ht="24.95" customHeight="1" thickTop="1" thickBot="1" x14ac:dyDescent="0.3">
      <c r="B325" s="5">
        <v>1</v>
      </c>
      <c r="C325" s="6">
        <v>2</v>
      </c>
      <c r="D325" s="275">
        <v>3</v>
      </c>
      <c r="E325" s="275">
        <v>4</v>
      </c>
      <c r="F325" s="275">
        <v>5</v>
      </c>
      <c r="G325" s="275">
        <v>6</v>
      </c>
      <c r="H325" s="275">
        <v>7</v>
      </c>
      <c r="I325" s="275">
        <v>8</v>
      </c>
      <c r="J325" s="109">
        <v>9</v>
      </c>
      <c r="K325" s="7">
        <v>10</v>
      </c>
    </row>
    <row r="326" spans="2:11" ht="24.95" customHeight="1" thickTop="1" x14ac:dyDescent="0.2">
      <c r="B326" s="63">
        <v>1</v>
      </c>
      <c r="C326" s="111" t="s">
        <v>26</v>
      </c>
      <c r="D326" s="281" t="str">
        <f>' kom 2021'!C18</f>
        <v>-</v>
      </c>
      <c r="E326" s="281" t="str">
        <f>' kom 2021'!D18</f>
        <v>-</v>
      </c>
      <c r="F326" s="284" t="str">
        <f>' kom 2021'!E18</f>
        <v>-</v>
      </c>
      <c r="G326" s="285" t="s">
        <v>12</v>
      </c>
      <c r="H326" s="285" t="s">
        <v>12</v>
      </c>
      <c r="I326" s="285" t="s">
        <v>12</v>
      </c>
      <c r="J326" s="85" t="str">
        <f>' kom 2021'!I18</f>
        <v>-</v>
      </c>
      <c r="K326" s="32"/>
    </row>
    <row r="327" spans="2:11" ht="24.95" customHeight="1" x14ac:dyDescent="0.2">
      <c r="B327" s="57">
        <v>2</v>
      </c>
      <c r="C327" s="112" t="s">
        <v>27</v>
      </c>
      <c r="D327" s="279">
        <f>' kom 2021'!C65</f>
        <v>11</v>
      </c>
      <c r="E327" s="279">
        <f>' kom 2021'!D65</f>
        <v>12</v>
      </c>
      <c r="F327" s="280">
        <f>' kom 2021'!E65</f>
        <v>53</v>
      </c>
      <c r="G327" s="279">
        <f t="shared" ref="G327:G331" si="33">F327+E327+D327</f>
        <v>76</v>
      </c>
      <c r="H327" s="279">
        <f t="shared" ref="H327:H330" si="34">I327/1000*E327</f>
        <v>41.472000000000001</v>
      </c>
      <c r="I327" s="279">
        <f>' kom 2021'!H65</f>
        <v>3456</v>
      </c>
      <c r="J327" s="79">
        <f>' kom 2021'!I65</f>
        <v>76</v>
      </c>
      <c r="K327" s="30"/>
    </row>
    <row r="328" spans="2:11" ht="24.95" customHeight="1" x14ac:dyDescent="0.2">
      <c r="B328" s="57">
        <v>3</v>
      </c>
      <c r="C328" s="112" t="s">
        <v>28</v>
      </c>
      <c r="D328" s="283">
        <f>' kom 2021'!C195</f>
        <v>25</v>
      </c>
      <c r="E328" s="283">
        <f>' kom 2021'!D195</f>
        <v>38</v>
      </c>
      <c r="F328" s="279">
        <f>' kom 2021'!E195</f>
        <v>109</v>
      </c>
      <c r="G328" s="279">
        <f t="shared" si="33"/>
        <v>172</v>
      </c>
      <c r="H328" s="279">
        <f t="shared" si="34"/>
        <v>34.200000000000003</v>
      </c>
      <c r="I328" s="279">
        <f>' kom 2021'!H195</f>
        <v>900</v>
      </c>
      <c r="J328" s="79">
        <f>' kom 2021'!I195</f>
        <v>292</v>
      </c>
      <c r="K328" s="19"/>
    </row>
    <row r="329" spans="2:11" ht="24.95" customHeight="1" x14ac:dyDescent="0.2">
      <c r="B329" s="57">
        <v>4</v>
      </c>
      <c r="C329" s="112" t="s">
        <v>29</v>
      </c>
      <c r="D329" s="309" t="str">
        <f>' kom 2021'!C288</f>
        <v>-</v>
      </c>
      <c r="E329" s="279" t="str">
        <f>' kom 2021'!D288</f>
        <v>-</v>
      </c>
      <c r="F329" s="279">
        <f>' kom 2021'!E288</f>
        <v>0</v>
      </c>
      <c r="G329" s="286" t="s">
        <v>12</v>
      </c>
      <c r="H329" s="286" t="s">
        <v>12</v>
      </c>
      <c r="I329" s="287" t="str">
        <f>' kom 2021'!H288</f>
        <v>-</v>
      </c>
      <c r="J329" s="79" t="str">
        <f>' kom 2021'!I288</f>
        <v>-</v>
      </c>
      <c r="K329" s="19"/>
    </row>
    <row r="330" spans="2:11" ht="24.95" customHeight="1" x14ac:dyDescent="0.2">
      <c r="B330" s="57">
        <v>5</v>
      </c>
      <c r="C330" s="112" t="s">
        <v>30</v>
      </c>
      <c r="D330" s="279">
        <f>' kom 2021'!C148</f>
        <v>16</v>
      </c>
      <c r="E330" s="279">
        <f>' kom 2021'!D148</f>
        <v>10</v>
      </c>
      <c r="F330" s="279">
        <f>' kom 2021'!E148</f>
        <v>11</v>
      </c>
      <c r="G330" s="279">
        <f t="shared" si="33"/>
        <v>37</v>
      </c>
      <c r="H330" s="279">
        <f t="shared" si="34"/>
        <v>4</v>
      </c>
      <c r="I330" s="279">
        <f>' kom 2021'!H148</f>
        <v>400</v>
      </c>
      <c r="J330" s="79">
        <f>' kom 2021'!I148</f>
        <v>51</v>
      </c>
      <c r="K330" s="26"/>
    </row>
    <row r="331" spans="2:11" ht="24.95" customHeight="1" x14ac:dyDescent="0.2">
      <c r="B331" s="57">
        <v>6</v>
      </c>
      <c r="C331" s="112" t="s">
        <v>31</v>
      </c>
      <c r="D331" s="279">
        <v>0</v>
      </c>
      <c r="E331" s="279">
        <v>0</v>
      </c>
      <c r="F331" s="279">
        <v>0</v>
      </c>
      <c r="G331" s="279">
        <f t="shared" si="33"/>
        <v>0</v>
      </c>
      <c r="H331" s="279">
        <v>0</v>
      </c>
      <c r="I331" s="283" t="s">
        <v>12</v>
      </c>
      <c r="J331" s="70" t="s">
        <v>12</v>
      </c>
      <c r="K331" s="19"/>
    </row>
    <row r="332" spans="2:11" ht="24.95" customHeight="1" x14ac:dyDescent="0.2">
      <c r="B332" s="57">
        <v>7</v>
      </c>
      <c r="C332" s="112" t="s">
        <v>32</v>
      </c>
      <c r="D332" s="279" t="str">
        <f>' kom 2021'!C103</f>
        <v>-</v>
      </c>
      <c r="E332" s="279" t="str">
        <f>' kom 2021'!D103</f>
        <v>-</v>
      </c>
      <c r="F332" s="279">
        <f>' kom 2021'!E103</f>
        <v>32</v>
      </c>
      <c r="G332" s="283">
        <f>F332</f>
        <v>32</v>
      </c>
      <c r="H332" s="283" t="s">
        <v>12</v>
      </c>
      <c r="I332" s="279" t="str">
        <f>' kom 2021'!H103</f>
        <v>-</v>
      </c>
      <c r="J332" s="79">
        <f>' kom 2021'!I103</f>
        <v>52</v>
      </c>
      <c r="K332" s="31"/>
    </row>
    <row r="333" spans="2:11" ht="24.95" customHeight="1" x14ac:dyDescent="0.2">
      <c r="B333" s="57">
        <v>8</v>
      </c>
      <c r="C333" s="112" t="s">
        <v>49</v>
      </c>
      <c r="D333" s="279">
        <v>0</v>
      </c>
      <c r="E333" s="283" t="s">
        <v>12</v>
      </c>
      <c r="F333" s="279">
        <v>0</v>
      </c>
      <c r="G333" s="283" t="s">
        <v>12</v>
      </c>
      <c r="H333" s="279">
        <v>0</v>
      </c>
      <c r="I333" s="287" t="s">
        <v>12</v>
      </c>
      <c r="J333" s="79" t="s">
        <v>12</v>
      </c>
      <c r="K333" s="19"/>
    </row>
    <row r="334" spans="2:11" ht="24.95" customHeight="1" x14ac:dyDescent="0.2">
      <c r="B334" s="57">
        <v>9</v>
      </c>
      <c r="C334" s="112" t="s">
        <v>34</v>
      </c>
      <c r="D334" s="279" t="str">
        <f>' kom 2021'!C378</f>
        <v>-</v>
      </c>
      <c r="E334" s="279">
        <f>' kom 2021'!D378</f>
        <v>0</v>
      </c>
      <c r="F334" s="279">
        <f>' kom 2021'!E378</f>
        <v>0</v>
      </c>
      <c r="G334" s="283" t="s">
        <v>12</v>
      </c>
      <c r="H334" s="279">
        <f t="shared" ref="H334" si="35">I334/1000*E334</f>
        <v>0</v>
      </c>
      <c r="I334" s="279">
        <f>' kom 2021'!H378</f>
        <v>0</v>
      </c>
      <c r="J334" s="79" t="str">
        <f>' kom 2021'!I378</f>
        <v>-</v>
      </c>
      <c r="K334" s="19"/>
    </row>
    <row r="335" spans="2:11" ht="24.95" customHeight="1" x14ac:dyDescent="0.2">
      <c r="B335" s="57">
        <v>10</v>
      </c>
      <c r="C335" s="112" t="s">
        <v>35</v>
      </c>
      <c r="D335" s="283" t="str">
        <f>' kom 2021'!C242</f>
        <v>-</v>
      </c>
      <c r="E335" s="283" t="str">
        <f>' kom 2021'!D242</f>
        <v>-</v>
      </c>
      <c r="F335" s="279" t="str">
        <f>' kom 2021'!E242</f>
        <v>-</v>
      </c>
      <c r="G335" s="286" t="s">
        <v>12</v>
      </c>
      <c r="H335" s="286" t="s">
        <v>12</v>
      </c>
      <c r="I335" s="279" t="str">
        <f>' kom 2021'!H242</f>
        <v>-</v>
      </c>
      <c r="J335" s="79" t="str">
        <f>' kom 2021'!I242</f>
        <v>-</v>
      </c>
      <c r="K335" s="19"/>
    </row>
    <row r="336" spans="2:11" ht="24.95" customHeight="1" x14ac:dyDescent="0.2">
      <c r="B336" s="57">
        <v>11</v>
      </c>
      <c r="C336" s="112" t="s">
        <v>36</v>
      </c>
      <c r="D336" s="279" t="str">
        <f>' kom 2021'!C333</f>
        <v>-</v>
      </c>
      <c r="E336" s="279" t="str">
        <f>' kom 2021'!D333</f>
        <v>-</v>
      </c>
      <c r="F336" s="279" t="str">
        <f>' kom 2021'!E333</f>
        <v>-</v>
      </c>
      <c r="G336" s="283" t="s">
        <v>12</v>
      </c>
      <c r="H336" s="283" t="s">
        <v>12</v>
      </c>
      <c r="I336" s="279" t="str">
        <f>' kom 2021'!H333</f>
        <v>-</v>
      </c>
      <c r="J336" s="79" t="str">
        <f>' kom 2021'!I333</f>
        <v>-</v>
      </c>
      <c r="K336" s="19"/>
    </row>
    <row r="337" spans="2:11" ht="24.95" customHeight="1" x14ac:dyDescent="0.2">
      <c r="B337" s="57">
        <v>12</v>
      </c>
      <c r="C337" s="130" t="s">
        <v>86</v>
      </c>
      <c r="D337" s="279">
        <f>' kom 2021'!C1056</f>
        <v>0</v>
      </c>
      <c r="E337" s="279">
        <f>' kom 2021'!D1056</f>
        <v>0</v>
      </c>
      <c r="F337" s="279">
        <f>' kom 2021'!E1056</f>
        <v>0</v>
      </c>
      <c r="G337" s="286" t="s">
        <v>12</v>
      </c>
      <c r="H337" s="286" t="s">
        <v>12</v>
      </c>
      <c r="I337" s="279">
        <f>' kom 2021'!H1056</f>
        <v>0</v>
      </c>
      <c r="J337" s="70">
        <f>' kom 2021'!I1056</f>
        <v>0</v>
      </c>
      <c r="K337" s="117"/>
    </row>
    <row r="338" spans="2:11" ht="24.95" customHeight="1" x14ac:dyDescent="0.2">
      <c r="B338" s="57">
        <v>13</v>
      </c>
      <c r="C338" s="112" t="s">
        <v>87</v>
      </c>
      <c r="D338" s="279">
        <f>' kom 2021'!C1057</f>
        <v>0</v>
      </c>
      <c r="E338" s="279">
        <f>' kom 2021'!D1057</f>
        <v>0</v>
      </c>
      <c r="F338" s="279">
        <f>' kom 2021'!E1057</f>
        <v>0</v>
      </c>
      <c r="G338" s="286" t="s">
        <v>12</v>
      </c>
      <c r="H338" s="286" t="s">
        <v>12</v>
      </c>
      <c r="I338" s="279">
        <f>' kom 2021'!H1057</f>
        <v>0</v>
      </c>
      <c r="J338" s="70">
        <f>' kom 2021'!I1057</f>
        <v>0</v>
      </c>
      <c r="K338" s="19"/>
    </row>
    <row r="339" spans="2:11" ht="24.95" customHeight="1" x14ac:dyDescent="0.2">
      <c r="B339" s="57">
        <v>14</v>
      </c>
      <c r="C339" s="95" t="s">
        <v>33</v>
      </c>
      <c r="D339" s="279">
        <f>' kom 2021'!C985</f>
        <v>0</v>
      </c>
      <c r="E339" s="279">
        <f>' kom 2021'!D985</f>
        <v>0</v>
      </c>
      <c r="F339" s="279">
        <f>' kom 2021'!E985</f>
        <v>0</v>
      </c>
      <c r="G339" s="286" t="s">
        <v>12</v>
      </c>
      <c r="H339" s="286" t="s">
        <v>12</v>
      </c>
      <c r="I339" s="279">
        <f>' kom 2021'!H985</f>
        <v>0</v>
      </c>
      <c r="J339" s="70">
        <f>' kom 2021'!I985</f>
        <v>0</v>
      </c>
      <c r="K339" s="19"/>
    </row>
    <row r="340" spans="2:11" ht="24.95" customHeight="1" x14ac:dyDescent="0.2">
      <c r="B340" s="57">
        <v>15</v>
      </c>
      <c r="C340" s="95" t="s">
        <v>88</v>
      </c>
      <c r="D340" s="279">
        <f>' kom 2021'!C986</f>
        <v>0</v>
      </c>
      <c r="E340" s="279">
        <f>' kom 2021'!D986</f>
        <v>0</v>
      </c>
      <c r="F340" s="279">
        <f>' kom 2021'!E986</f>
        <v>0</v>
      </c>
      <c r="G340" s="286" t="s">
        <v>12</v>
      </c>
      <c r="H340" s="286" t="s">
        <v>12</v>
      </c>
      <c r="I340" s="279">
        <f>' kom 2021'!H986</f>
        <v>0</v>
      </c>
      <c r="J340" s="70">
        <f>' kom 2021'!I986</f>
        <v>0</v>
      </c>
      <c r="K340" s="19"/>
    </row>
    <row r="341" spans="2:11" ht="24.95" customHeight="1" thickBot="1" x14ac:dyDescent="0.25">
      <c r="B341" s="60">
        <v>16</v>
      </c>
      <c r="C341" s="134" t="s">
        <v>84</v>
      </c>
      <c r="D341" s="310" t="s">
        <v>12</v>
      </c>
      <c r="E341" s="310" t="s">
        <v>12</v>
      </c>
      <c r="F341" s="310" t="s">
        <v>12</v>
      </c>
      <c r="G341" s="310" t="s">
        <v>12</v>
      </c>
      <c r="H341" s="310" t="s">
        <v>12</v>
      </c>
      <c r="I341" s="310" t="s">
        <v>12</v>
      </c>
      <c r="J341" s="311" t="s">
        <v>12</v>
      </c>
      <c r="K341" s="20"/>
    </row>
    <row r="342" spans="2:11" ht="24.95" customHeight="1" thickTop="1" x14ac:dyDescent="0.2"/>
    <row r="343" spans="2:11" ht="13.5" customHeight="1" x14ac:dyDescent="0.2">
      <c r="H343" s="296" t="s">
        <v>4</v>
      </c>
      <c r="I343" s="421" t="s">
        <v>63</v>
      </c>
      <c r="J343" s="421"/>
      <c r="K343" s="421"/>
    </row>
    <row r="344" spans="2:11" ht="13.5" customHeight="1" x14ac:dyDescent="0.2">
      <c r="H344" s="298" t="s">
        <v>5</v>
      </c>
      <c r="I344" s="421" t="s">
        <v>64</v>
      </c>
      <c r="J344" s="421"/>
      <c r="K344" s="421"/>
    </row>
    <row r="345" spans="2:11" ht="13.5" customHeight="1" x14ac:dyDescent="0.2">
      <c r="H345" s="296" t="s">
        <v>6</v>
      </c>
      <c r="I345" s="421" t="s">
        <v>65</v>
      </c>
      <c r="J345" s="421"/>
      <c r="K345" s="421"/>
    </row>
    <row r="346" spans="2:11" ht="24.95" customHeight="1" x14ac:dyDescent="0.2">
      <c r="H346" s="410"/>
      <c r="I346" s="410"/>
      <c r="J346" s="410"/>
      <c r="K346" s="410"/>
    </row>
    <row r="347" spans="2:11" ht="24.95" customHeight="1" x14ac:dyDescent="0.2">
      <c r="C347" s="218" t="s">
        <v>102</v>
      </c>
      <c r="D347" s="299"/>
      <c r="E347" s="299"/>
      <c r="F347" s="299"/>
      <c r="H347" s="412" t="s">
        <v>99</v>
      </c>
      <c r="I347" s="412"/>
      <c r="J347" s="412"/>
      <c r="K347" s="412"/>
    </row>
    <row r="348" spans="2:11" ht="24.95" customHeight="1" x14ac:dyDescent="0.2">
      <c r="C348" s="125"/>
      <c r="D348" s="299"/>
      <c r="E348" s="299"/>
      <c r="F348" s="299"/>
      <c r="H348" s="412"/>
      <c r="I348" s="412"/>
      <c r="J348" s="412"/>
      <c r="K348" s="412"/>
    </row>
    <row r="349" spans="2:11" ht="7.5" customHeight="1" x14ac:dyDescent="0.2">
      <c r="C349" s="124"/>
      <c r="D349" s="299"/>
      <c r="E349" s="299"/>
      <c r="F349" s="299"/>
      <c r="H349" s="299"/>
      <c r="I349" s="299"/>
      <c r="J349" s="300"/>
      <c r="K349" s="124"/>
    </row>
    <row r="350" spans="2:11" ht="12" customHeight="1" x14ac:dyDescent="0.2">
      <c r="C350" s="124"/>
      <c r="D350" s="299"/>
      <c r="E350" s="299"/>
      <c r="F350" s="299"/>
      <c r="H350" s="299"/>
      <c r="I350" s="299"/>
      <c r="J350" s="300"/>
      <c r="K350" s="124"/>
    </row>
    <row r="351" spans="2:11" ht="24.95" customHeight="1" x14ac:dyDescent="0.25">
      <c r="C351" s="221" t="s">
        <v>109</v>
      </c>
      <c r="D351" s="301"/>
      <c r="E351" s="301"/>
      <c r="F351" s="301"/>
      <c r="H351" s="407" t="s">
        <v>163</v>
      </c>
      <c r="I351" s="407"/>
      <c r="J351" s="407"/>
      <c r="K351" s="407"/>
    </row>
    <row r="352" spans="2:11" ht="14.25" customHeight="1" x14ac:dyDescent="0.2">
      <c r="C352" s="47"/>
      <c r="H352" s="409" t="s">
        <v>164</v>
      </c>
      <c r="I352" s="410"/>
      <c r="J352" s="410"/>
      <c r="K352" s="410"/>
    </row>
    <row r="353" spans="2:11" ht="14.25" customHeight="1" x14ac:dyDescent="0.2">
      <c r="C353" s="47"/>
      <c r="H353" s="316"/>
      <c r="I353" s="317"/>
      <c r="J353" s="317"/>
      <c r="K353" s="317"/>
    </row>
    <row r="354" spans="2:11" ht="14.25" customHeight="1" x14ac:dyDescent="0.2">
      <c r="C354" s="47"/>
      <c r="H354" s="316"/>
      <c r="I354" s="317"/>
      <c r="J354" s="317"/>
      <c r="K354" s="317"/>
    </row>
    <row r="355" spans="2:11" ht="177" customHeight="1" x14ac:dyDescent="0.2">
      <c r="H355" s="307"/>
      <c r="I355" s="307"/>
      <c r="J355" s="308"/>
      <c r="K355" s="217"/>
    </row>
    <row r="356" spans="2:11" ht="24.75" hidden="1" customHeight="1" x14ac:dyDescent="0.2"/>
    <row r="357" spans="2:11" ht="24.75" customHeight="1" x14ac:dyDescent="0.2">
      <c r="J357" s="406"/>
    </row>
    <row r="358" spans="2:11" ht="24.95" customHeight="1" x14ac:dyDescent="0.2">
      <c r="B358" s="422" t="s">
        <v>165</v>
      </c>
      <c r="C358" s="422"/>
      <c r="D358" s="422"/>
      <c r="E358" s="422"/>
      <c r="F358" s="422"/>
      <c r="G358" s="422"/>
      <c r="H358" s="422"/>
      <c r="I358" s="422"/>
      <c r="J358" s="422"/>
      <c r="K358" s="422"/>
    </row>
    <row r="359" spans="2:11" ht="24.95" customHeight="1" x14ac:dyDescent="0.2">
      <c r="B359" s="422" t="s">
        <v>53</v>
      </c>
      <c r="C359" s="422"/>
      <c r="D359" s="422"/>
      <c r="E359" s="422"/>
      <c r="F359" s="422"/>
      <c r="G359" s="422"/>
      <c r="H359" s="422"/>
      <c r="I359" s="422"/>
      <c r="J359" s="422"/>
      <c r="K359" s="422"/>
    </row>
    <row r="360" spans="2:11" ht="24.95" customHeight="1" x14ac:dyDescent="0.2">
      <c r="B360" s="422" t="s">
        <v>166</v>
      </c>
      <c r="C360" s="422"/>
      <c r="D360" s="422"/>
      <c r="E360" s="422"/>
      <c r="F360" s="422"/>
      <c r="G360" s="422"/>
      <c r="H360" s="422"/>
      <c r="I360" s="422"/>
      <c r="J360" s="422"/>
      <c r="K360" s="422"/>
    </row>
    <row r="361" spans="2:11" ht="24.95" customHeight="1" x14ac:dyDescent="0.3">
      <c r="B361" s="43"/>
      <c r="C361" s="43"/>
      <c r="D361" s="274"/>
      <c r="E361" s="274"/>
      <c r="F361" s="274"/>
      <c r="G361" s="274"/>
      <c r="H361" s="274"/>
      <c r="I361" s="274"/>
      <c r="J361" s="272"/>
      <c r="K361" s="43"/>
    </row>
    <row r="362" spans="2:11" ht="24.95" customHeight="1" x14ac:dyDescent="0.2">
      <c r="B362" t="s">
        <v>37</v>
      </c>
      <c r="D362" s="289" t="s">
        <v>58</v>
      </c>
    </row>
    <row r="363" spans="2:11" ht="24.95" customHeight="1" thickBot="1" x14ac:dyDescent="0.25"/>
    <row r="364" spans="2:11" ht="24.95" customHeight="1" thickTop="1" x14ac:dyDescent="0.2">
      <c r="B364" s="423" t="s">
        <v>2</v>
      </c>
      <c r="C364" s="426" t="s">
        <v>24</v>
      </c>
      <c r="D364" s="429" t="s">
        <v>25</v>
      </c>
      <c r="E364" s="430"/>
      <c r="F364" s="431"/>
      <c r="G364" s="432" t="s">
        <v>7</v>
      </c>
      <c r="H364" s="432" t="s">
        <v>8</v>
      </c>
      <c r="I364" s="432" t="s">
        <v>9</v>
      </c>
      <c r="J364" s="435" t="s">
        <v>10</v>
      </c>
      <c r="K364" s="438" t="s">
        <v>11</v>
      </c>
    </row>
    <row r="365" spans="2:11" ht="24.95" customHeight="1" x14ac:dyDescent="0.2">
      <c r="B365" s="424"/>
      <c r="C365" s="427"/>
      <c r="D365" s="443" t="s">
        <v>4</v>
      </c>
      <c r="E365" s="443" t="s">
        <v>5</v>
      </c>
      <c r="F365" s="443" t="s">
        <v>6</v>
      </c>
      <c r="G365" s="433"/>
      <c r="H365" s="433"/>
      <c r="I365" s="433"/>
      <c r="J365" s="436"/>
      <c r="K365" s="439"/>
    </row>
    <row r="366" spans="2:11" ht="24.95" customHeight="1" thickBot="1" x14ac:dyDescent="0.25">
      <c r="B366" s="425"/>
      <c r="C366" s="428"/>
      <c r="D366" s="444"/>
      <c r="E366" s="444"/>
      <c r="F366" s="444"/>
      <c r="G366" s="434"/>
      <c r="H366" s="434"/>
      <c r="I366" s="434"/>
      <c r="J366" s="437"/>
      <c r="K366" s="440"/>
    </row>
    <row r="367" spans="2:11" ht="24.95" customHeight="1" thickTop="1" thickBot="1" x14ac:dyDescent="0.25">
      <c r="B367" s="108">
        <v>1</v>
      </c>
      <c r="C367" s="109">
        <v>2</v>
      </c>
      <c r="D367" s="275">
        <v>3</v>
      </c>
      <c r="E367" s="275">
        <v>4</v>
      </c>
      <c r="F367" s="275">
        <v>5</v>
      </c>
      <c r="G367" s="275">
        <v>6</v>
      </c>
      <c r="H367" s="275">
        <v>7</v>
      </c>
      <c r="I367" s="275">
        <v>8</v>
      </c>
      <c r="J367" s="109">
        <v>9</v>
      </c>
      <c r="K367" s="110">
        <v>10</v>
      </c>
    </row>
    <row r="368" spans="2:11" ht="24.95" customHeight="1" thickTop="1" x14ac:dyDescent="0.2">
      <c r="B368" s="63">
        <v>1</v>
      </c>
      <c r="C368" s="111" t="s">
        <v>26</v>
      </c>
      <c r="D368" s="281">
        <f>' kom 2021'!C19</f>
        <v>10</v>
      </c>
      <c r="E368" s="285">
        <f>' kom 2021'!D19</f>
        <v>19</v>
      </c>
      <c r="F368" s="284">
        <f>' kom 2021'!E19</f>
        <v>36</v>
      </c>
      <c r="G368" s="281">
        <f t="shared" ref="G368:G372" si="36">F368+E368+D368</f>
        <v>65</v>
      </c>
      <c r="H368" s="281">
        <f t="shared" ref="H368" si="37">I368/1000*E368</f>
        <v>17.157</v>
      </c>
      <c r="I368" s="281">
        <f>' kom 2021'!H19</f>
        <v>903</v>
      </c>
      <c r="J368" s="84">
        <f>' kom 2021'!I19</f>
        <v>33</v>
      </c>
      <c r="K368" s="81"/>
    </row>
    <row r="369" spans="2:11" ht="24.95" customHeight="1" x14ac:dyDescent="0.2">
      <c r="B369" s="57">
        <v>2</v>
      </c>
      <c r="C369" s="112" t="s">
        <v>27</v>
      </c>
      <c r="D369" s="279" t="str">
        <f>' kom 2021'!C66</f>
        <v>-</v>
      </c>
      <c r="E369" s="279" t="str">
        <f>' kom 2021'!D66</f>
        <v>-</v>
      </c>
      <c r="F369" s="280" t="str">
        <f>' kom 2021'!E66</f>
        <v>-</v>
      </c>
      <c r="G369" s="283" t="s">
        <v>12</v>
      </c>
      <c r="H369" s="283" t="s">
        <v>12</v>
      </c>
      <c r="I369" s="279" t="str">
        <f>' kom 2021'!H66</f>
        <v>-</v>
      </c>
      <c r="J369" s="70" t="str">
        <f>' kom 2021'!I66</f>
        <v>-</v>
      </c>
      <c r="K369" s="78"/>
    </row>
    <row r="370" spans="2:11" ht="24.95" customHeight="1" x14ac:dyDescent="0.2">
      <c r="B370" s="57">
        <v>3</v>
      </c>
      <c r="C370" s="112" t="s">
        <v>28</v>
      </c>
      <c r="D370" s="283">
        <f>' kom 2021'!C196</f>
        <v>40</v>
      </c>
      <c r="E370" s="283">
        <f>' kom 2021'!D196</f>
        <v>430</v>
      </c>
      <c r="F370" s="279">
        <f>' kom 2021'!E196</f>
        <v>1068</v>
      </c>
      <c r="G370" s="279">
        <f t="shared" si="36"/>
        <v>1538</v>
      </c>
      <c r="H370" s="279">
        <f>I370/1000*E370</f>
        <v>387</v>
      </c>
      <c r="I370" s="279">
        <f>' kom 2021'!H196</f>
        <v>900</v>
      </c>
      <c r="J370" s="70">
        <f>' kom 2021'!I196</f>
        <v>376</v>
      </c>
      <c r="K370" s="80"/>
    </row>
    <row r="371" spans="2:11" ht="24.95" customHeight="1" x14ac:dyDescent="0.2">
      <c r="B371" s="57">
        <v>4</v>
      </c>
      <c r="C371" s="112" t="s">
        <v>29</v>
      </c>
      <c r="D371" s="283">
        <f>' kom 2021'!C289</f>
        <v>0</v>
      </c>
      <c r="E371" s="283">
        <f>' kom 2021'!D289</f>
        <v>0</v>
      </c>
      <c r="F371" s="279" t="str">
        <f>' kom 2021'!E289</f>
        <v>-</v>
      </c>
      <c r="G371" s="283" t="s">
        <v>12</v>
      </c>
      <c r="H371" s="279">
        <f>I371/1000*E371</f>
        <v>0</v>
      </c>
      <c r="I371" s="279">
        <f>' kom 2021'!H289</f>
        <v>0</v>
      </c>
      <c r="J371" s="70" t="str">
        <f>' kom 2021'!I289</f>
        <v>-</v>
      </c>
      <c r="K371" s="80"/>
    </row>
    <row r="372" spans="2:11" ht="24.95" customHeight="1" x14ac:dyDescent="0.2">
      <c r="B372" s="57">
        <v>5</v>
      </c>
      <c r="C372" s="112" t="s">
        <v>30</v>
      </c>
      <c r="D372" s="283">
        <f>' kom 2021'!C149</f>
        <v>27.6</v>
      </c>
      <c r="E372" s="279">
        <f>' kom 2021'!D149</f>
        <v>11</v>
      </c>
      <c r="F372" s="279">
        <f>' kom 2021'!E149</f>
        <v>1.4</v>
      </c>
      <c r="G372" s="279">
        <f t="shared" si="36"/>
        <v>40</v>
      </c>
      <c r="H372" s="279">
        <f t="shared" ref="H372:H374" si="38">I372/1000*E372</f>
        <v>4.4000000000000004</v>
      </c>
      <c r="I372" s="279">
        <f>' kom 2021'!H149</f>
        <v>400</v>
      </c>
      <c r="J372" s="70">
        <f>' kom 2021'!I149</f>
        <v>93</v>
      </c>
      <c r="K372" s="80"/>
    </row>
    <row r="373" spans="2:11" ht="24.95" customHeight="1" x14ac:dyDescent="0.2">
      <c r="B373" s="57">
        <v>6</v>
      </c>
      <c r="C373" s="112" t="s">
        <v>31</v>
      </c>
      <c r="D373" s="283" t="s">
        <v>12</v>
      </c>
      <c r="E373" s="283" t="s">
        <v>12</v>
      </c>
      <c r="F373" s="279">
        <v>0</v>
      </c>
      <c r="G373" s="283" t="s">
        <v>12</v>
      </c>
      <c r="H373" s="283" t="s">
        <v>12</v>
      </c>
      <c r="I373" s="283" t="s">
        <v>12</v>
      </c>
      <c r="J373" s="79" t="s">
        <v>12</v>
      </c>
      <c r="K373" s="80"/>
    </row>
    <row r="374" spans="2:11" ht="24.95" customHeight="1" x14ac:dyDescent="0.2">
      <c r="B374" s="57">
        <v>7</v>
      </c>
      <c r="C374" s="112" t="s">
        <v>32</v>
      </c>
      <c r="D374" s="279">
        <f>' kom 2021'!C104</f>
        <v>2</v>
      </c>
      <c r="E374" s="279">
        <f>' kom 2021'!D104</f>
        <v>4</v>
      </c>
      <c r="F374" s="279">
        <f>' kom 2021'!E104</f>
        <v>18</v>
      </c>
      <c r="G374" s="279">
        <f t="shared" ref="G374:G376" si="39">F374+E374+D374</f>
        <v>24</v>
      </c>
      <c r="H374" s="279">
        <f t="shared" si="38"/>
        <v>3.472</v>
      </c>
      <c r="I374" s="279">
        <f>' kom 2021'!H104</f>
        <v>868</v>
      </c>
      <c r="J374" s="70">
        <f>' kom 2021'!I104</f>
        <v>24</v>
      </c>
      <c r="K374" s="81"/>
    </row>
    <row r="375" spans="2:11" ht="24.95" customHeight="1" x14ac:dyDescent="0.2">
      <c r="B375" s="57">
        <v>8</v>
      </c>
      <c r="C375" s="112" t="s">
        <v>33</v>
      </c>
      <c r="D375" s="279">
        <v>0</v>
      </c>
      <c r="E375" s="279">
        <v>0</v>
      </c>
      <c r="F375" s="279">
        <v>0</v>
      </c>
      <c r="G375" s="279">
        <f t="shared" si="39"/>
        <v>0</v>
      </c>
      <c r="H375" s="279">
        <v>0</v>
      </c>
      <c r="I375" s="287" t="s">
        <v>12</v>
      </c>
      <c r="J375" s="70" t="s">
        <v>12</v>
      </c>
      <c r="K375" s="80"/>
    </row>
    <row r="376" spans="2:11" ht="24.95" customHeight="1" x14ac:dyDescent="0.2">
      <c r="B376" s="57">
        <v>9</v>
      </c>
      <c r="C376" s="112" t="s">
        <v>34</v>
      </c>
      <c r="D376" s="279">
        <v>0</v>
      </c>
      <c r="E376" s="279">
        <v>0</v>
      </c>
      <c r="F376" s="279">
        <v>0</v>
      </c>
      <c r="G376" s="279">
        <f t="shared" si="39"/>
        <v>0</v>
      </c>
      <c r="H376" s="279">
        <v>0</v>
      </c>
      <c r="I376" s="283" t="s">
        <v>12</v>
      </c>
      <c r="J376" s="70" t="s">
        <v>12</v>
      </c>
      <c r="K376" s="80"/>
    </row>
    <row r="377" spans="2:11" ht="24.95" customHeight="1" x14ac:dyDescent="0.2">
      <c r="B377" s="57">
        <v>10</v>
      </c>
      <c r="C377" s="112" t="s">
        <v>35</v>
      </c>
      <c r="D377" s="279" t="str">
        <f>' kom 2021'!C243</f>
        <v>-</v>
      </c>
      <c r="E377" s="279" t="str">
        <f>' kom 2021'!D243</f>
        <v>-</v>
      </c>
      <c r="F377" s="279" t="str">
        <f>' kom 2021'!E243</f>
        <v>-</v>
      </c>
      <c r="G377" s="286" t="s">
        <v>12</v>
      </c>
      <c r="H377" s="286" t="s">
        <v>12</v>
      </c>
      <c r="I377" s="279" t="str">
        <f>' kom 2021'!H243</f>
        <v>-</v>
      </c>
      <c r="J377" s="70" t="str">
        <f>' kom 2021'!I243</f>
        <v>-</v>
      </c>
      <c r="K377" s="80"/>
    </row>
    <row r="378" spans="2:11" ht="24.95" customHeight="1" x14ac:dyDescent="0.2">
      <c r="B378" s="57">
        <v>11</v>
      </c>
      <c r="C378" s="112" t="s">
        <v>36</v>
      </c>
      <c r="D378" s="279" t="str">
        <f>' kom 2021'!C334</f>
        <v>-</v>
      </c>
      <c r="E378" s="279" t="str">
        <f>' kom 2021'!D334</f>
        <v>-</v>
      </c>
      <c r="F378" s="279" t="str">
        <f>' kom 2021'!E334</f>
        <v>-</v>
      </c>
      <c r="G378" s="283" t="s">
        <v>12</v>
      </c>
      <c r="H378" s="283" t="s">
        <v>12</v>
      </c>
      <c r="I378" s="279" t="str">
        <f>' kom 2021'!H334</f>
        <v>-</v>
      </c>
      <c r="J378" s="70" t="str">
        <f>' kom 2021'!I334</f>
        <v>-</v>
      </c>
      <c r="K378" s="80"/>
    </row>
    <row r="379" spans="2:11" ht="24.95" customHeight="1" x14ac:dyDescent="0.2">
      <c r="B379" s="57">
        <v>12</v>
      </c>
      <c r="C379" s="130" t="s">
        <v>86</v>
      </c>
      <c r="D379" s="279">
        <f>' kom 2021'!C497</f>
        <v>62</v>
      </c>
      <c r="E379" s="279">
        <f>' kom 2021'!D497</f>
        <v>104</v>
      </c>
      <c r="F379" s="279">
        <f>' kom 2021'!E497</f>
        <v>149</v>
      </c>
      <c r="G379" s="286">
        <f>F379+E379+D379</f>
        <v>315</v>
      </c>
      <c r="H379" s="279">
        <f t="shared" ref="H379" si="40">I379/1000*E379</f>
        <v>46.072000000000003</v>
      </c>
      <c r="I379" s="279">
        <f>' kom 2021'!H497</f>
        <v>443</v>
      </c>
      <c r="J379" s="70">
        <f>' kom 2021'!I497</f>
        <v>125</v>
      </c>
      <c r="K379" s="117"/>
    </row>
    <row r="380" spans="2:11" ht="24.95" customHeight="1" x14ac:dyDescent="0.2">
      <c r="B380" s="57">
        <v>13</v>
      </c>
      <c r="C380" s="112" t="s">
        <v>87</v>
      </c>
      <c r="D380" s="279">
        <f>' kom 2021'!C542</f>
        <v>1</v>
      </c>
      <c r="E380" s="279">
        <f>' kom 2021'!D542</f>
        <v>5</v>
      </c>
      <c r="F380" s="279">
        <f>' kom 2021'!E542</f>
        <v>5</v>
      </c>
      <c r="G380" s="286">
        <f>F380+E380+D380</f>
        <v>11</v>
      </c>
      <c r="H380" s="279">
        <f t="shared" ref="H380" si="41">I380/1000*E380</f>
        <v>1.5</v>
      </c>
      <c r="I380" s="279">
        <f>' kom 2021'!H542</f>
        <v>300</v>
      </c>
      <c r="J380" s="70">
        <f>' kom 2021'!I542</f>
        <v>12</v>
      </c>
      <c r="K380" s="80"/>
    </row>
    <row r="381" spans="2:11" ht="24.95" customHeight="1" x14ac:dyDescent="0.2">
      <c r="B381" s="57">
        <v>14</v>
      </c>
      <c r="C381" s="95" t="s">
        <v>33</v>
      </c>
      <c r="D381" s="279">
        <f>' kom 2021'!C1043</f>
        <v>0</v>
      </c>
      <c r="E381" s="279">
        <f>' kom 2021'!D1043</f>
        <v>0</v>
      </c>
      <c r="F381" s="279">
        <f>' kom 2021'!E1043</f>
        <v>0</v>
      </c>
      <c r="G381" s="286" t="s">
        <v>12</v>
      </c>
      <c r="H381" s="286" t="s">
        <v>12</v>
      </c>
      <c r="I381" s="279">
        <f>' kom 2021'!H1043</f>
        <v>0</v>
      </c>
      <c r="J381" s="70">
        <f>' kom 2021'!I1043</f>
        <v>0</v>
      </c>
      <c r="K381" s="80"/>
    </row>
    <row r="382" spans="2:11" ht="24.95" customHeight="1" x14ac:dyDescent="0.2">
      <c r="B382" s="57">
        <v>15</v>
      </c>
      <c r="C382" s="95" t="s">
        <v>88</v>
      </c>
      <c r="D382" s="279">
        <f>' kom 2021'!C1044</f>
        <v>0</v>
      </c>
      <c r="E382" s="279">
        <f>' kom 2021'!D1044</f>
        <v>0</v>
      </c>
      <c r="F382" s="279">
        <f>' kom 2021'!E1044</f>
        <v>0</v>
      </c>
      <c r="G382" s="286" t="s">
        <v>12</v>
      </c>
      <c r="H382" s="286" t="s">
        <v>12</v>
      </c>
      <c r="I382" s="279">
        <f>' kom 2021'!H1044</f>
        <v>0</v>
      </c>
      <c r="J382" s="70">
        <f>' kom 2021'!I1044</f>
        <v>0</v>
      </c>
      <c r="K382" s="80"/>
    </row>
    <row r="383" spans="2:11" ht="24.95" customHeight="1" thickBot="1" x14ac:dyDescent="0.25">
      <c r="B383" s="60">
        <v>16</v>
      </c>
      <c r="C383" s="134" t="s">
        <v>84</v>
      </c>
      <c r="D383" s="310" t="s">
        <v>12</v>
      </c>
      <c r="E383" s="310" t="s">
        <v>12</v>
      </c>
      <c r="F383" s="310" t="s">
        <v>12</v>
      </c>
      <c r="G383" s="310" t="s">
        <v>12</v>
      </c>
      <c r="H383" s="310" t="s">
        <v>12</v>
      </c>
      <c r="I383" s="310" t="s">
        <v>12</v>
      </c>
      <c r="J383" s="311" t="s">
        <v>12</v>
      </c>
      <c r="K383" s="82"/>
    </row>
    <row r="384" spans="2:11" ht="24.95" customHeight="1" thickTop="1" x14ac:dyDescent="0.2"/>
    <row r="385" spans="2:11" ht="18" customHeight="1" x14ac:dyDescent="0.2">
      <c r="H385" s="296" t="s">
        <v>4</v>
      </c>
      <c r="I385" s="421" t="s">
        <v>63</v>
      </c>
      <c r="J385" s="421"/>
      <c r="K385" s="421"/>
    </row>
    <row r="386" spans="2:11" ht="18" customHeight="1" x14ac:dyDescent="0.2">
      <c r="H386" s="298" t="s">
        <v>5</v>
      </c>
      <c r="I386" s="421" t="s">
        <v>64</v>
      </c>
      <c r="J386" s="421"/>
      <c r="K386" s="421"/>
    </row>
    <row r="387" spans="2:11" ht="18" customHeight="1" x14ac:dyDescent="0.2">
      <c r="H387" s="296" t="s">
        <v>6</v>
      </c>
      <c r="I387" s="421" t="s">
        <v>65</v>
      </c>
      <c r="J387" s="421"/>
      <c r="K387" s="421"/>
    </row>
    <row r="388" spans="2:11" ht="24.95" customHeight="1" x14ac:dyDescent="0.2">
      <c r="H388" s="410"/>
      <c r="I388" s="410"/>
      <c r="J388" s="410"/>
      <c r="K388" s="410"/>
    </row>
    <row r="389" spans="2:11" ht="24.95" customHeight="1" x14ac:dyDescent="0.2">
      <c r="C389" s="218" t="s">
        <v>102</v>
      </c>
      <c r="D389" s="299"/>
      <c r="E389" s="299"/>
      <c r="F389" s="299"/>
      <c r="H389" s="412" t="s">
        <v>99</v>
      </c>
      <c r="I389" s="412"/>
      <c r="J389" s="412"/>
      <c r="K389" s="412"/>
    </row>
    <row r="390" spans="2:11" ht="15.75" customHeight="1" x14ac:dyDescent="0.2">
      <c r="C390" s="125"/>
      <c r="D390" s="299"/>
      <c r="E390" s="299"/>
      <c r="F390" s="299"/>
      <c r="H390" s="412"/>
      <c r="I390" s="412"/>
      <c r="J390" s="412"/>
      <c r="K390" s="412"/>
    </row>
    <row r="391" spans="2:11" ht="9" customHeight="1" x14ac:dyDescent="0.2">
      <c r="C391" s="124"/>
      <c r="D391" s="299"/>
      <c r="E391" s="299"/>
      <c r="F391" s="299"/>
      <c r="H391" s="299"/>
      <c r="I391" s="299"/>
      <c r="J391" s="300"/>
      <c r="K391" s="124"/>
    </row>
    <row r="392" spans="2:11" ht="14.25" customHeight="1" x14ac:dyDescent="0.2">
      <c r="C392" s="124"/>
      <c r="D392" s="299"/>
      <c r="E392" s="299"/>
      <c r="F392" s="299"/>
      <c r="H392" s="299"/>
      <c r="I392" s="299"/>
      <c r="J392" s="300"/>
      <c r="K392" s="124"/>
    </row>
    <row r="393" spans="2:11" ht="24.95" customHeight="1" x14ac:dyDescent="0.25">
      <c r="C393" s="221" t="s">
        <v>110</v>
      </c>
      <c r="D393" s="301"/>
      <c r="E393" s="301"/>
      <c r="F393" s="301"/>
      <c r="H393" s="407" t="s">
        <v>163</v>
      </c>
      <c r="I393" s="407"/>
      <c r="J393" s="407"/>
      <c r="K393" s="407"/>
    </row>
    <row r="394" spans="2:11" ht="16.5" customHeight="1" x14ac:dyDescent="0.2">
      <c r="C394" s="47"/>
      <c r="H394" s="409" t="s">
        <v>164</v>
      </c>
      <c r="I394" s="410"/>
      <c r="J394" s="410"/>
      <c r="K394" s="410"/>
    </row>
    <row r="395" spans="2:11" ht="182.25" customHeight="1" x14ac:dyDescent="0.2">
      <c r="C395" s="47"/>
      <c r="H395" s="316"/>
      <c r="I395" s="317"/>
      <c r="J395" s="317"/>
      <c r="K395" s="317"/>
    </row>
    <row r="396" spans="2:11" ht="16.5" customHeight="1" x14ac:dyDescent="0.2">
      <c r="C396" s="47"/>
      <c r="H396" s="404"/>
      <c r="I396" s="405"/>
      <c r="J396" s="405"/>
      <c r="K396" s="405"/>
    </row>
    <row r="397" spans="2:11" ht="24.95" customHeight="1" x14ac:dyDescent="0.2">
      <c r="B397" s="422" t="s">
        <v>165</v>
      </c>
      <c r="C397" s="422"/>
      <c r="D397" s="422"/>
      <c r="E397" s="422"/>
      <c r="F397" s="422"/>
      <c r="G397" s="422"/>
      <c r="H397" s="422"/>
      <c r="I397" s="422"/>
      <c r="J397" s="422"/>
      <c r="K397" s="422"/>
    </row>
    <row r="398" spans="2:11" ht="24.95" customHeight="1" x14ac:dyDescent="0.2">
      <c r="B398" s="422" t="s">
        <v>53</v>
      </c>
      <c r="C398" s="422"/>
      <c r="D398" s="422"/>
      <c r="E398" s="422"/>
      <c r="F398" s="422"/>
      <c r="G398" s="422"/>
      <c r="H398" s="422"/>
      <c r="I398" s="422"/>
      <c r="J398" s="422"/>
      <c r="K398" s="422"/>
    </row>
    <row r="399" spans="2:11" ht="24.95" customHeight="1" x14ac:dyDescent="0.2">
      <c r="B399" s="422" t="s">
        <v>166</v>
      </c>
      <c r="C399" s="422"/>
      <c r="D399" s="422"/>
      <c r="E399" s="422"/>
      <c r="F399" s="422"/>
      <c r="G399" s="422"/>
      <c r="H399" s="422"/>
      <c r="I399" s="422"/>
      <c r="J399" s="422"/>
      <c r="K399" s="422"/>
    </row>
    <row r="400" spans="2:11" ht="24.95" customHeight="1" x14ac:dyDescent="0.3">
      <c r="B400" s="43"/>
      <c r="C400" s="43"/>
      <c r="D400" s="274"/>
      <c r="E400" s="274"/>
      <c r="F400" s="274"/>
      <c r="G400" s="274"/>
      <c r="H400" s="274"/>
      <c r="I400" s="274"/>
      <c r="J400" s="272"/>
      <c r="K400" s="43"/>
    </row>
    <row r="401" spans="2:11" ht="24.95" customHeight="1" x14ac:dyDescent="0.2">
      <c r="B401" s="211" t="s">
        <v>37</v>
      </c>
      <c r="C401" s="211"/>
      <c r="D401" s="289" t="s">
        <v>59</v>
      </c>
    </row>
    <row r="402" spans="2:11" ht="24.95" customHeight="1" thickBot="1" x14ac:dyDescent="0.25"/>
    <row r="403" spans="2:11" ht="24.95" customHeight="1" thickTop="1" x14ac:dyDescent="0.2">
      <c r="B403" s="423" t="s">
        <v>2</v>
      </c>
      <c r="C403" s="426" t="s">
        <v>24</v>
      </c>
      <c r="D403" s="429" t="s">
        <v>25</v>
      </c>
      <c r="E403" s="430"/>
      <c r="F403" s="431"/>
      <c r="G403" s="432" t="s">
        <v>7</v>
      </c>
      <c r="H403" s="432" t="s">
        <v>8</v>
      </c>
      <c r="I403" s="432" t="s">
        <v>9</v>
      </c>
      <c r="J403" s="435" t="s">
        <v>10</v>
      </c>
      <c r="K403" s="438" t="s">
        <v>11</v>
      </c>
    </row>
    <row r="404" spans="2:11" ht="24.95" customHeight="1" x14ac:dyDescent="0.2">
      <c r="B404" s="424"/>
      <c r="C404" s="427"/>
      <c r="D404" s="443" t="s">
        <v>4</v>
      </c>
      <c r="E404" s="443" t="s">
        <v>5</v>
      </c>
      <c r="F404" s="443" t="s">
        <v>6</v>
      </c>
      <c r="G404" s="433"/>
      <c r="H404" s="433"/>
      <c r="I404" s="433"/>
      <c r="J404" s="436"/>
      <c r="K404" s="439"/>
    </row>
    <row r="405" spans="2:11" ht="24.95" customHeight="1" thickBot="1" x14ac:dyDescent="0.25">
      <c r="B405" s="425"/>
      <c r="C405" s="428"/>
      <c r="D405" s="444"/>
      <c r="E405" s="444"/>
      <c r="F405" s="444"/>
      <c r="G405" s="434"/>
      <c r="H405" s="434"/>
      <c r="I405" s="434"/>
      <c r="J405" s="437"/>
      <c r="K405" s="440"/>
    </row>
    <row r="406" spans="2:11" ht="24.95" customHeight="1" thickTop="1" thickBot="1" x14ac:dyDescent="0.3">
      <c r="B406" s="5">
        <v>1</v>
      </c>
      <c r="C406" s="6">
        <v>2</v>
      </c>
      <c r="D406" s="275">
        <v>3</v>
      </c>
      <c r="E406" s="275">
        <v>4</v>
      </c>
      <c r="F406" s="275">
        <v>5</v>
      </c>
      <c r="G406" s="275">
        <v>6</v>
      </c>
      <c r="H406" s="275">
        <v>7</v>
      </c>
      <c r="I406" s="275">
        <v>8</v>
      </c>
      <c r="J406" s="109">
        <v>9</v>
      </c>
      <c r="K406" s="7">
        <v>10</v>
      </c>
    </row>
    <row r="407" spans="2:11" ht="24.95" customHeight="1" thickTop="1" x14ac:dyDescent="0.2">
      <c r="B407" s="63">
        <v>1</v>
      </c>
      <c r="C407" s="94" t="s">
        <v>26</v>
      </c>
      <c r="D407" s="281">
        <f>' kom 2021'!C20</f>
        <v>130</v>
      </c>
      <c r="E407" s="281">
        <f>' kom 2021'!D20</f>
        <v>118</v>
      </c>
      <c r="F407" s="284">
        <f>' kom 2021'!E20</f>
        <v>15</v>
      </c>
      <c r="G407" s="281">
        <f t="shared" ref="G407:G409" si="42">F407+E407+D407</f>
        <v>263</v>
      </c>
      <c r="H407" s="281">
        <f t="shared" ref="H407" si="43">I407/1000*E407</f>
        <v>106.554</v>
      </c>
      <c r="I407" s="281">
        <f>' kom 2021'!H20</f>
        <v>903</v>
      </c>
      <c r="J407" s="84">
        <f>' kom 2021'!I20</f>
        <v>214</v>
      </c>
      <c r="K407" s="81"/>
    </row>
    <row r="408" spans="2:11" ht="24.95" customHeight="1" x14ac:dyDescent="0.2">
      <c r="B408" s="57">
        <v>2</v>
      </c>
      <c r="C408" s="95" t="s">
        <v>27</v>
      </c>
      <c r="D408" s="279" t="str">
        <f>' kom 2021'!C67</f>
        <v>-</v>
      </c>
      <c r="E408" s="279" t="str">
        <f>' kom 2021'!D67</f>
        <v>-</v>
      </c>
      <c r="F408" s="280" t="str">
        <f>' kom 2021'!E67</f>
        <v>-</v>
      </c>
      <c r="G408" s="283" t="s">
        <v>12</v>
      </c>
      <c r="H408" s="283" t="s">
        <v>12</v>
      </c>
      <c r="I408" s="279" t="str">
        <f>' kom 2021'!H67</f>
        <v>-</v>
      </c>
      <c r="J408" s="70" t="str">
        <f>' kom 2021'!I67</f>
        <v>-</v>
      </c>
      <c r="K408" s="78"/>
    </row>
    <row r="409" spans="2:11" ht="24.95" customHeight="1" x14ac:dyDescent="0.2">
      <c r="B409" s="57">
        <v>3</v>
      </c>
      <c r="C409" s="95" t="s">
        <v>28</v>
      </c>
      <c r="D409" s="279">
        <f>' kom 2021'!C197</f>
        <v>157</v>
      </c>
      <c r="E409" s="279">
        <f>' kom 2021'!D197</f>
        <v>209</v>
      </c>
      <c r="F409" s="279">
        <f>' kom 2021'!E197</f>
        <v>380</v>
      </c>
      <c r="G409" s="279">
        <f t="shared" si="42"/>
        <v>746</v>
      </c>
      <c r="H409" s="279">
        <f>I409/1000*E409</f>
        <v>188.1</v>
      </c>
      <c r="I409" s="279">
        <f>' kom 2021'!H197</f>
        <v>900</v>
      </c>
      <c r="J409" s="70">
        <f>' kom 2021'!I197</f>
        <v>779</v>
      </c>
      <c r="K409" s="80"/>
    </row>
    <row r="410" spans="2:11" ht="24.95" customHeight="1" x14ac:dyDescent="0.2">
      <c r="B410" s="57">
        <v>4</v>
      </c>
      <c r="C410" s="95" t="s">
        <v>29</v>
      </c>
      <c r="D410" s="279">
        <f>' kom 2021'!C290</f>
        <v>6</v>
      </c>
      <c r="E410" s="279">
        <f>' kom 2021'!D290</f>
        <v>6</v>
      </c>
      <c r="F410" s="279" t="str">
        <f>' kom 2021'!E290</f>
        <v>-</v>
      </c>
      <c r="G410" s="279">
        <f>D410</f>
        <v>6</v>
      </c>
      <c r="H410" s="279">
        <f>I410/1000*E410</f>
        <v>1.0979999999999999</v>
      </c>
      <c r="I410" s="279">
        <f>' kom 2021'!H290</f>
        <v>183</v>
      </c>
      <c r="J410" s="70">
        <f>' kom 2021'!I290</f>
        <v>8</v>
      </c>
      <c r="K410" s="80"/>
    </row>
    <row r="411" spans="2:11" ht="24.95" customHeight="1" x14ac:dyDescent="0.2">
      <c r="B411" s="57">
        <v>5</v>
      </c>
      <c r="C411" s="95" t="s">
        <v>30</v>
      </c>
      <c r="D411" s="279" t="str">
        <f>' kom 2021'!C150</f>
        <v>-</v>
      </c>
      <c r="E411" s="279" t="str">
        <f>' kom 2021'!D150</f>
        <v>-</v>
      </c>
      <c r="F411" s="279" t="str">
        <f>' kom 2021'!E150</f>
        <v>-</v>
      </c>
      <c r="G411" s="283" t="s">
        <v>12</v>
      </c>
      <c r="H411" s="283" t="s">
        <v>12</v>
      </c>
      <c r="I411" s="279" t="str">
        <f>' kom 2021'!H150</f>
        <v>-</v>
      </c>
      <c r="J411" s="70" t="str">
        <f>' kom 2021'!I150</f>
        <v>-</v>
      </c>
      <c r="K411" s="93"/>
    </row>
    <row r="412" spans="2:11" ht="24.95" customHeight="1" x14ac:dyDescent="0.2">
      <c r="B412" s="57">
        <v>6</v>
      </c>
      <c r="C412" s="95" t="s">
        <v>31</v>
      </c>
      <c r="D412" s="279">
        <f>' kom 2021'!C423</f>
        <v>0</v>
      </c>
      <c r="E412" s="283">
        <f>' kom 2021'!D423</f>
        <v>0</v>
      </c>
      <c r="F412" s="279">
        <f>' kom 2021'!E423</f>
        <v>0</v>
      </c>
      <c r="G412" s="283" t="s">
        <v>12</v>
      </c>
      <c r="H412" s="283" t="s">
        <v>12</v>
      </c>
      <c r="I412" s="279">
        <f>' kom 2021'!H423</f>
        <v>0</v>
      </c>
      <c r="J412" s="70">
        <f>' kom 2021'!I423</f>
        <v>0</v>
      </c>
      <c r="K412" s="80"/>
    </row>
    <row r="413" spans="2:11" ht="24.95" customHeight="1" x14ac:dyDescent="0.2">
      <c r="B413" s="57">
        <v>7</v>
      </c>
      <c r="C413" s="95" t="s">
        <v>32</v>
      </c>
      <c r="D413" s="279" t="str">
        <f>' kom 2021'!C105</f>
        <v>-</v>
      </c>
      <c r="E413" s="279" t="str">
        <f>' kom 2021'!D105</f>
        <v>-</v>
      </c>
      <c r="F413" s="279" t="str">
        <f>' kom 2021'!E105</f>
        <v>-</v>
      </c>
      <c r="G413" s="283" t="s">
        <v>12</v>
      </c>
      <c r="H413" s="283" t="s">
        <v>12</v>
      </c>
      <c r="I413" s="279" t="str">
        <f>' kom 2021'!H105</f>
        <v>-</v>
      </c>
      <c r="J413" s="70" t="str">
        <f>' kom 2021'!I105</f>
        <v>-</v>
      </c>
      <c r="K413" s="81"/>
    </row>
    <row r="414" spans="2:11" ht="24.95" customHeight="1" x14ac:dyDescent="0.2">
      <c r="B414" s="57">
        <v>8</v>
      </c>
      <c r="C414" s="95" t="s">
        <v>33</v>
      </c>
      <c r="D414" s="279">
        <v>0</v>
      </c>
      <c r="E414" s="279">
        <v>0</v>
      </c>
      <c r="F414" s="279">
        <v>0</v>
      </c>
      <c r="G414" s="279">
        <f t="shared" ref="G414" si="44">F414+E414+D414</f>
        <v>0</v>
      </c>
      <c r="H414" s="279">
        <v>0</v>
      </c>
      <c r="I414" s="287" t="s">
        <v>12</v>
      </c>
      <c r="J414" s="70" t="s">
        <v>12</v>
      </c>
      <c r="K414" s="80"/>
    </row>
    <row r="415" spans="2:11" ht="24.95" customHeight="1" x14ac:dyDescent="0.2">
      <c r="B415" s="57">
        <v>9</v>
      </c>
      <c r="C415" s="95" t="s">
        <v>34</v>
      </c>
      <c r="D415" s="279" t="str">
        <f>' kom 2021'!C380</f>
        <v>-</v>
      </c>
      <c r="E415" s="279">
        <f>' kom 2021'!D380</f>
        <v>0</v>
      </c>
      <c r="F415" s="279">
        <f>' kom 2021'!E380</f>
        <v>0</v>
      </c>
      <c r="G415" s="283" t="s">
        <v>12</v>
      </c>
      <c r="H415" s="279">
        <v>0</v>
      </c>
      <c r="I415" s="279">
        <f>' kom 2021'!H380</f>
        <v>0</v>
      </c>
      <c r="J415" s="70" t="str">
        <f>' kom 2021'!I380</f>
        <v>-</v>
      </c>
      <c r="K415" s="80"/>
    </row>
    <row r="416" spans="2:11" ht="25.5" customHeight="1" x14ac:dyDescent="0.2">
      <c r="B416" s="57">
        <v>10</v>
      </c>
      <c r="C416" s="95" t="s">
        <v>35</v>
      </c>
      <c r="D416" s="283" t="str">
        <f>' kom 2021'!C244</f>
        <v>-</v>
      </c>
      <c r="E416" s="283" t="str">
        <f>' kom 2021'!D244</f>
        <v>-</v>
      </c>
      <c r="F416" s="283" t="str">
        <f>' kom 2021'!E244</f>
        <v>-</v>
      </c>
      <c r="G416" s="286" t="s">
        <v>12</v>
      </c>
      <c r="H416" s="286" t="s">
        <v>12</v>
      </c>
      <c r="I416" s="279" t="str">
        <f>' kom 2021'!H244</f>
        <v>-</v>
      </c>
      <c r="J416" s="70" t="str">
        <f>' kom 2021'!I244</f>
        <v>-</v>
      </c>
      <c r="K416" s="80"/>
    </row>
    <row r="417" spans="2:11" ht="25.5" customHeight="1" x14ac:dyDescent="0.2">
      <c r="B417" s="57">
        <v>11</v>
      </c>
      <c r="C417" s="95" t="s">
        <v>36</v>
      </c>
      <c r="D417" s="283" t="str">
        <f>' kom 2021'!C335</f>
        <v>-</v>
      </c>
      <c r="E417" s="283" t="str">
        <f>' kom 2021'!D335</f>
        <v>-</v>
      </c>
      <c r="F417" s="283" t="str">
        <f>' kom 2021'!E335</f>
        <v>-</v>
      </c>
      <c r="G417" s="283" t="s">
        <v>12</v>
      </c>
      <c r="H417" s="283" t="s">
        <v>12</v>
      </c>
      <c r="I417" s="279" t="str">
        <f>' kom 2021'!H335</f>
        <v>-</v>
      </c>
      <c r="J417" s="70" t="str">
        <f>' kom 2021'!I335</f>
        <v>-</v>
      </c>
      <c r="K417" s="80"/>
    </row>
    <row r="418" spans="2:11" ht="24.75" customHeight="1" x14ac:dyDescent="0.2">
      <c r="B418" s="57">
        <v>12</v>
      </c>
      <c r="C418" s="130" t="s">
        <v>86</v>
      </c>
      <c r="D418" s="279">
        <f>' kom 2021'!C498</f>
        <v>51</v>
      </c>
      <c r="E418" s="279">
        <f>' kom 2021'!D498</f>
        <v>16</v>
      </c>
      <c r="F418" s="279">
        <f>' kom 2021'!E498</f>
        <v>16</v>
      </c>
      <c r="G418" s="286">
        <f>F418+E418+D418</f>
        <v>83</v>
      </c>
      <c r="H418" s="279">
        <f>I418/1000*E418</f>
        <v>7.0880000000000001</v>
      </c>
      <c r="I418" s="279">
        <f>' kom 2021'!H498</f>
        <v>443</v>
      </c>
      <c r="J418" s="70">
        <f>' kom 2021'!I498</f>
        <v>110</v>
      </c>
      <c r="K418" s="117"/>
    </row>
    <row r="419" spans="2:11" ht="24.75" customHeight="1" x14ac:dyDescent="0.2">
      <c r="B419" s="57">
        <v>13</v>
      </c>
      <c r="C419" s="112" t="s">
        <v>87</v>
      </c>
      <c r="D419" s="279">
        <f>' kom 2021'!C543</f>
        <v>48</v>
      </c>
      <c r="E419" s="279">
        <f>' kom 2021'!D543</f>
        <v>17</v>
      </c>
      <c r="F419" s="279">
        <f>' kom 2021'!E543</f>
        <v>11</v>
      </c>
      <c r="G419" s="286">
        <f>F419+E419+D419</f>
        <v>76</v>
      </c>
      <c r="H419" s="279">
        <f>I419/1000*E419</f>
        <v>5.0999999999999996</v>
      </c>
      <c r="I419" s="279">
        <f>' kom 2021'!H543</f>
        <v>300</v>
      </c>
      <c r="J419" s="70">
        <f>' kom 2021'!I543</f>
        <v>67</v>
      </c>
      <c r="K419" s="80"/>
    </row>
    <row r="420" spans="2:11" ht="24.75" customHeight="1" x14ac:dyDescent="0.2">
      <c r="B420" s="57">
        <v>14</v>
      </c>
      <c r="C420" s="95" t="s">
        <v>33</v>
      </c>
      <c r="D420" s="279">
        <f>' kom 2021'!C1101</f>
        <v>0</v>
      </c>
      <c r="E420" s="279">
        <f>' kom 2021'!D1101</f>
        <v>0</v>
      </c>
      <c r="F420" s="279">
        <f>' kom 2021'!E1101</f>
        <v>0</v>
      </c>
      <c r="G420" s="286" t="s">
        <v>12</v>
      </c>
      <c r="H420" s="286" t="s">
        <v>12</v>
      </c>
      <c r="I420" s="279">
        <f>' kom 2021'!H1101</f>
        <v>0</v>
      </c>
      <c r="J420" s="70">
        <f>' kom 2021'!I1101</f>
        <v>0</v>
      </c>
      <c r="K420" s="80"/>
    </row>
    <row r="421" spans="2:11" ht="24" customHeight="1" x14ac:dyDescent="0.2">
      <c r="B421" s="57">
        <v>15</v>
      </c>
      <c r="C421" s="95" t="s">
        <v>88</v>
      </c>
      <c r="D421" s="279">
        <f>' kom 2021'!C1102</f>
        <v>0</v>
      </c>
      <c r="E421" s="279">
        <f>' kom 2021'!D1102</f>
        <v>0</v>
      </c>
      <c r="F421" s="279">
        <f>' kom 2021'!E1102</f>
        <v>0</v>
      </c>
      <c r="G421" s="286" t="s">
        <v>12</v>
      </c>
      <c r="H421" s="286" t="s">
        <v>12</v>
      </c>
      <c r="I421" s="279">
        <f>' kom 2021'!H1102</f>
        <v>0</v>
      </c>
      <c r="J421" s="70">
        <f>' kom 2021'!I1102</f>
        <v>0</v>
      </c>
      <c r="K421" s="80"/>
    </row>
    <row r="422" spans="2:11" ht="25.5" customHeight="1" thickBot="1" x14ac:dyDescent="0.25">
      <c r="B422" s="60">
        <v>16</v>
      </c>
      <c r="C422" s="134" t="s">
        <v>84</v>
      </c>
      <c r="D422" s="288" t="s">
        <v>12</v>
      </c>
      <c r="E422" s="288" t="s">
        <v>12</v>
      </c>
      <c r="F422" s="288" t="s">
        <v>12</v>
      </c>
      <c r="G422" s="288" t="s">
        <v>12</v>
      </c>
      <c r="H422" s="288" t="s">
        <v>12</v>
      </c>
      <c r="I422" s="288" t="s">
        <v>12</v>
      </c>
      <c r="J422" s="141" t="s">
        <v>12</v>
      </c>
      <c r="K422" s="132"/>
    </row>
    <row r="423" spans="2:11" ht="36" customHeight="1" thickTop="1" x14ac:dyDescent="0.2"/>
    <row r="424" spans="2:11" ht="19.5" customHeight="1" x14ac:dyDescent="0.2">
      <c r="H424" s="296" t="s">
        <v>4</v>
      </c>
      <c r="I424" s="421" t="s">
        <v>63</v>
      </c>
      <c r="J424" s="421"/>
      <c r="K424" s="421"/>
    </row>
    <row r="425" spans="2:11" ht="19.5" customHeight="1" x14ac:dyDescent="0.2">
      <c r="C425" s="23"/>
      <c r="G425" s="312"/>
      <c r="H425" s="298" t="s">
        <v>5</v>
      </c>
      <c r="I425" s="421" t="s">
        <v>64</v>
      </c>
      <c r="J425" s="421"/>
      <c r="K425" s="421"/>
    </row>
    <row r="426" spans="2:11" ht="19.5" customHeight="1" x14ac:dyDescent="0.2">
      <c r="H426" s="296" t="s">
        <v>6</v>
      </c>
      <c r="I426" s="421" t="s">
        <v>65</v>
      </c>
      <c r="J426" s="421"/>
      <c r="K426" s="421"/>
    </row>
    <row r="427" spans="2:11" ht="21" customHeight="1" x14ac:dyDescent="0.2">
      <c r="H427" s="410"/>
      <c r="I427" s="410"/>
      <c r="J427" s="410"/>
      <c r="K427" s="410"/>
    </row>
    <row r="428" spans="2:11" ht="21" customHeight="1" x14ac:dyDescent="0.2">
      <c r="C428" s="218" t="s">
        <v>102</v>
      </c>
      <c r="D428" s="299"/>
      <c r="E428" s="299"/>
      <c r="F428" s="299"/>
      <c r="H428" s="412" t="s">
        <v>99</v>
      </c>
      <c r="I428" s="412"/>
      <c r="J428" s="412"/>
      <c r="K428" s="412"/>
    </row>
    <row r="429" spans="2:11" ht="14.25" x14ac:dyDescent="0.2">
      <c r="C429" s="125"/>
      <c r="D429" s="299"/>
      <c r="E429" s="299"/>
      <c r="F429" s="299"/>
      <c r="H429" s="412"/>
      <c r="I429" s="412"/>
      <c r="J429" s="412"/>
      <c r="K429" s="412"/>
    </row>
    <row r="430" spans="2:11" ht="14.25" x14ac:dyDescent="0.2">
      <c r="C430" s="124"/>
      <c r="D430" s="299"/>
      <c r="E430" s="299"/>
      <c r="F430" s="299"/>
      <c r="H430" s="299"/>
      <c r="I430" s="299"/>
      <c r="J430" s="300"/>
      <c r="K430" s="124"/>
    </row>
    <row r="431" spans="2:11" ht="14.25" x14ac:dyDescent="0.2">
      <c r="C431" s="124"/>
      <c r="D431" s="299"/>
      <c r="E431" s="299"/>
      <c r="F431" s="299"/>
      <c r="H431" s="299"/>
      <c r="I431" s="299"/>
      <c r="J431" s="300"/>
      <c r="K431" s="124"/>
    </row>
    <row r="432" spans="2:11" ht="15" x14ac:dyDescent="0.25">
      <c r="C432" s="221" t="s">
        <v>111</v>
      </c>
      <c r="D432" s="301"/>
      <c r="E432" s="301"/>
      <c r="F432" s="301"/>
      <c r="H432" s="407" t="s">
        <v>163</v>
      </c>
      <c r="I432" s="407"/>
      <c r="J432" s="407"/>
      <c r="K432" s="407"/>
    </row>
    <row r="433" spans="3:11" x14ac:dyDescent="0.2">
      <c r="C433" s="47"/>
      <c r="H433" s="409" t="s">
        <v>164</v>
      </c>
      <c r="I433" s="410"/>
      <c r="J433" s="410"/>
      <c r="K433" s="410"/>
    </row>
    <row r="453" spans="2:11" ht="18.75" x14ac:dyDescent="0.3">
      <c r="B453" s="43"/>
      <c r="C453" s="43"/>
      <c r="D453" s="274"/>
      <c r="E453" s="274"/>
      <c r="F453" s="274"/>
      <c r="G453" s="274"/>
      <c r="H453" s="274"/>
      <c r="I453" s="274"/>
      <c r="J453" s="272"/>
      <c r="K453" s="43"/>
    </row>
    <row r="454" spans="2:11" ht="18.75" x14ac:dyDescent="0.3">
      <c r="B454" s="43"/>
      <c r="C454" s="43"/>
      <c r="D454" s="274"/>
      <c r="E454" s="274"/>
      <c r="F454" s="274"/>
      <c r="G454" s="274"/>
      <c r="H454" s="274"/>
      <c r="I454" s="274"/>
      <c r="J454" s="272"/>
      <c r="K454" s="43"/>
    </row>
    <row r="455" spans="2:11" ht="18.75" x14ac:dyDescent="0.3">
      <c r="B455" s="43"/>
      <c r="C455" s="43"/>
      <c r="D455" s="274"/>
      <c r="E455" s="274"/>
      <c r="F455" s="274"/>
      <c r="G455" s="274"/>
      <c r="H455" s="274"/>
      <c r="I455" s="274"/>
      <c r="J455" s="272"/>
      <c r="K455" s="43"/>
    </row>
    <row r="456" spans="2:11" ht="18.75" x14ac:dyDescent="0.3">
      <c r="B456" s="43"/>
      <c r="C456" s="43"/>
      <c r="D456" s="274"/>
      <c r="E456" s="274"/>
      <c r="F456" s="274"/>
      <c r="G456" s="274"/>
      <c r="H456" s="274"/>
      <c r="I456" s="274"/>
      <c r="J456" s="272"/>
      <c r="K456" s="43"/>
    </row>
  </sheetData>
  <mergeCells count="243">
    <mergeCell ref="H433:K433"/>
    <mergeCell ref="B2:K2"/>
    <mergeCell ref="B3:K3"/>
    <mergeCell ref="B4:K4"/>
    <mergeCell ref="B8:B10"/>
    <mergeCell ref="C8:C10"/>
    <mergeCell ref="D8:F8"/>
    <mergeCell ref="G8:G10"/>
    <mergeCell ref="H8:H10"/>
    <mergeCell ref="I8:I10"/>
    <mergeCell ref="J8:J10"/>
    <mergeCell ref="K8:K10"/>
    <mergeCell ref="D9:D10"/>
    <mergeCell ref="E9:E10"/>
    <mergeCell ref="F9:F10"/>
    <mergeCell ref="B28:C28"/>
    <mergeCell ref="H33:K33"/>
    <mergeCell ref="H34:K34"/>
    <mergeCell ref="H38:K38"/>
    <mergeCell ref="H39:K39"/>
    <mergeCell ref="B42:K42"/>
    <mergeCell ref="B43:K43"/>
    <mergeCell ref="C35:F35"/>
    <mergeCell ref="I147:K147"/>
    <mergeCell ref="I148:K148"/>
    <mergeCell ref="I149:K149"/>
    <mergeCell ref="K87:K89"/>
    <mergeCell ref="D88:D89"/>
    <mergeCell ref="E88:E89"/>
    <mergeCell ref="F88:F89"/>
    <mergeCell ref="H35:K35"/>
    <mergeCell ref="B44:K44"/>
    <mergeCell ref="B48:B50"/>
    <mergeCell ref="C48:C50"/>
    <mergeCell ref="D48:F48"/>
    <mergeCell ref="G48:G50"/>
    <mergeCell ref="H48:H50"/>
    <mergeCell ref="I48:I50"/>
    <mergeCell ref="J48:J50"/>
    <mergeCell ref="K48:K50"/>
    <mergeCell ref="D49:D50"/>
    <mergeCell ref="E49:E50"/>
    <mergeCell ref="F49:F50"/>
    <mergeCell ref="H111:K111"/>
    <mergeCell ref="H112:K112"/>
    <mergeCell ref="H116:K116"/>
    <mergeCell ref="H117:K117"/>
    <mergeCell ref="B122:K122"/>
    <mergeCell ref="B126:B128"/>
    <mergeCell ref="C126:C128"/>
    <mergeCell ref="D126:F126"/>
    <mergeCell ref="G126:G128"/>
    <mergeCell ref="H126:H128"/>
    <mergeCell ref="I126:I128"/>
    <mergeCell ref="J126:J128"/>
    <mergeCell ref="K126:K128"/>
    <mergeCell ref="D127:D128"/>
    <mergeCell ref="E127:E128"/>
    <mergeCell ref="F127:F128"/>
    <mergeCell ref="H113:K113"/>
    <mergeCell ref="H191:K191"/>
    <mergeCell ref="H150:K150"/>
    <mergeCell ref="H155:K155"/>
    <mergeCell ref="B159:K159"/>
    <mergeCell ref="B160:K160"/>
    <mergeCell ref="B161:K161"/>
    <mergeCell ref="B165:B167"/>
    <mergeCell ref="C165:C167"/>
    <mergeCell ref="D165:F165"/>
    <mergeCell ref="G165:G167"/>
    <mergeCell ref="H165:H167"/>
    <mergeCell ref="I165:I167"/>
    <mergeCell ref="J165:J167"/>
    <mergeCell ref="K165:K167"/>
    <mergeCell ref="D166:D167"/>
    <mergeCell ref="E166:E167"/>
    <mergeCell ref="F166:F167"/>
    <mergeCell ref="H151:K151"/>
    <mergeCell ref="H152:K152"/>
    <mergeCell ref="H156:K156"/>
    <mergeCell ref="I186:K186"/>
    <mergeCell ref="B120:K120"/>
    <mergeCell ref="B121:K121"/>
    <mergeCell ref="H228:K228"/>
    <mergeCell ref="H229:K229"/>
    <mergeCell ref="H233:K233"/>
    <mergeCell ref="H234:K234"/>
    <mergeCell ref="B237:K237"/>
    <mergeCell ref="B238:K238"/>
    <mergeCell ref="B239:K239"/>
    <mergeCell ref="B243:B245"/>
    <mergeCell ref="C243:C245"/>
    <mergeCell ref="D243:F243"/>
    <mergeCell ref="G243:G245"/>
    <mergeCell ref="H243:H245"/>
    <mergeCell ref="I243:I245"/>
    <mergeCell ref="J243:J245"/>
    <mergeCell ref="K243:K245"/>
    <mergeCell ref="D244:D245"/>
    <mergeCell ref="E244:E245"/>
    <mergeCell ref="F244:F245"/>
    <mergeCell ref="H230:K230"/>
    <mergeCell ref="H267:K267"/>
    <mergeCell ref="H272:K272"/>
    <mergeCell ref="B276:K276"/>
    <mergeCell ref="B277:K277"/>
    <mergeCell ref="B278:K278"/>
    <mergeCell ref="B282:B284"/>
    <mergeCell ref="C282:C284"/>
    <mergeCell ref="D282:F282"/>
    <mergeCell ref="G282:G284"/>
    <mergeCell ref="H282:H284"/>
    <mergeCell ref="I282:I284"/>
    <mergeCell ref="J282:J284"/>
    <mergeCell ref="K282:K284"/>
    <mergeCell ref="D283:D284"/>
    <mergeCell ref="E283:E284"/>
    <mergeCell ref="F283:F284"/>
    <mergeCell ref="H268:K268"/>
    <mergeCell ref="H273:K273"/>
    <mergeCell ref="H306:K306"/>
    <mergeCell ref="H311:K311"/>
    <mergeCell ref="B316:K316"/>
    <mergeCell ref="B317:K317"/>
    <mergeCell ref="B318:K318"/>
    <mergeCell ref="B322:B324"/>
    <mergeCell ref="C322:C324"/>
    <mergeCell ref="D322:F322"/>
    <mergeCell ref="G322:G324"/>
    <mergeCell ref="H322:H324"/>
    <mergeCell ref="I322:I324"/>
    <mergeCell ref="J322:J324"/>
    <mergeCell ref="K322:K324"/>
    <mergeCell ref="D323:D324"/>
    <mergeCell ref="E323:E324"/>
    <mergeCell ref="F323:F324"/>
    <mergeCell ref="H307:K307"/>
    <mergeCell ref="H308:K308"/>
    <mergeCell ref="H312:K312"/>
    <mergeCell ref="H347:K347"/>
    <mergeCell ref="H351:K351"/>
    <mergeCell ref="H352:K352"/>
    <mergeCell ref="B358:K358"/>
    <mergeCell ref="B359:K359"/>
    <mergeCell ref="B360:K360"/>
    <mergeCell ref="B364:B366"/>
    <mergeCell ref="C364:C366"/>
    <mergeCell ref="D364:F364"/>
    <mergeCell ref="G364:G366"/>
    <mergeCell ref="H364:H366"/>
    <mergeCell ref="I364:I366"/>
    <mergeCell ref="J364:J366"/>
    <mergeCell ref="K364:K366"/>
    <mergeCell ref="D365:D366"/>
    <mergeCell ref="E365:E366"/>
    <mergeCell ref="F365:F366"/>
    <mergeCell ref="H348:K348"/>
    <mergeCell ref="H427:K427"/>
    <mergeCell ref="H432:K432"/>
    <mergeCell ref="B403:B405"/>
    <mergeCell ref="C403:C405"/>
    <mergeCell ref="D403:F403"/>
    <mergeCell ref="G403:G405"/>
    <mergeCell ref="H403:H405"/>
    <mergeCell ref="I403:I405"/>
    <mergeCell ref="J403:J405"/>
    <mergeCell ref="K403:K405"/>
    <mergeCell ref="D404:D405"/>
    <mergeCell ref="E404:E405"/>
    <mergeCell ref="F404:F405"/>
    <mergeCell ref="H428:K428"/>
    <mergeCell ref="H429:K429"/>
    <mergeCell ref="I29:K29"/>
    <mergeCell ref="I30:K30"/>
    <mergeCell ref="I31:K31"/>
    <mergeCell ref="I69:K69"/>
    <mergeCell ref="I70:K70"/>
    <mergeCell ref="I71:K71"/>
    <mergeCell ref="I108:K108"/>
    <mergeCell ref="I109:K109"/>
    <mergeCell ref="I110:K110"/>
    <mergeCell ref="H72:K72"/>
    <mergeCell ref="H73:K73"/>
    <mergeCell ref="H77:K77"/>
    <mergeCell ref="H78:K78"/>
    <mergeCell ref="B81:K81"/>
    <mergeCell ref="B82:K82"/>
    <mergeCell ref="B83:K83"/>
    <mergeCell ref="H74:K74"/>
    <mergeCell ref="B87:B89"/>
    <mergeCell ref="C87:C89"/>
    <mergeCell ref="D87:F87"/>
    <mergeCell ref="G87:G89"/>
    <mergeCell ref="H87:H89"/>
    <mergeCell ref="I87:I89"/>
    <mergeCell ref="J87:J89"/>
    <mergeCell ref="I187:K187"/>
    <mergeCell ref="I188:K188"/>
    <mergeCell ref="I225:K225"/>
    <mergeCell ref="I226:K226"/>
    <mergeCell ref="I227:K227"/>
    <mergeCell ref="H189:K189"/>
    <mergeCell ref="H190:K190"/>
    <mergeCell ref="H194:K194"/>
    <mergeCell ref="H195:K195"/>
    <mergeCell ref="B198:K198"/>
    <mergeCell ref="B199:K199"/>
    <mergeCell ref="B200:K200"/>
    <mergeCell ref="B204:B206"/>
    <mergeCell ref="C204:C206"/>
    <mergeCell ref="D204:F204"/>
    <mergeCell ref="G204:G206"/>
    <mergeCell ref="H204:H206"/>
    <mergeCell ref="I204:I206"/>
    <mergeCell ref="J204:J206"/>
    <mergeCell ref="K204:K206"/>
    <mergeCell ref="D205:D206"/>
    <mergeCell ref="E205:E206"/>
    <mergeCell ref="F205:F206"/>
    <mergeCell ref="I385:K385"/>
    <mergeCell ref="I386:K386"/>
    <mergeCell ref="I387:K387"/>
    <mergeCell ref="I424:K424"/>
    <mergeCell ref="I425:K425"/>
    <mergeCell ref="I426:K426"/>
    <mergeCell ref="I264:K264"/>
    <mergeCell ref="I265:K265"/>
    <mergeCell ref="I266:K266"/>
    <mergeCell ref="I303:K303"/>
    <mergeCell ref="I304:K304"/>
    <mergeCell ref="I305:K305"/>
    <mergeCell ref="I343:K343"/>
    <mergeCell ref="I344:K344"/>
    <mergeCell ref="I345:K345"/>
    <mergeCell ref="H388:K388"/>
    <mergeCell ref="H393:K393"/>
    <mergeCell ref="B397:K397"/>
    <mergeCell ref="B398:K398"/>
    <mergeCell ref="B399:K399"/>
    <mergeCell ref="H389:K389"/>
    <mergeCell ref="H390:K390"/>
    <mergeCell ref="H394:K394"/>
    <mergeCell ref="H346:K346"/>
  </mergeCells>
  <pageMargins left="0.6" right="7.8740157480315001E-2" top="0.66929133858267698" bottom="0.59055118110236204" header="0.43307086614173201" footer="0.511811023622047"/>
  <pageSetup paperSize="5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08"/>
  <sheetViews>
    <sheetView tabSelected="1" topLeftCell="A52" zoomScale="80" zoomScaleNormal="80" workbookViewId="0">
      <selection activeCell="Q58" sqref="Q58"/>
    </sheetView>
  </sheetViews>
  <sheetFormatPr defaultRowHeight="12.75" x14ac:dyDescent="0.2"/>
  <cols>
    <col min="1" max="1" width="6.28515625" customWidth="1"/>
    <col min="2" max="2" width="22.28515625" bestFit="1" customWidth="1"/>
    <col min="3" max="5" width="9.28515625" customWidth="1"/>
    <col min="6" max="6" width="10.28515625" customWidth="1"/>
    <col min="7" max="7" width="11.140625" customWidth="1"/>
    <col min="8" max="10" width="9.28515625" customWidth="1"/>
    <col min="11" max="11" width="6.5703125" customWidth="1"/>
    <col min="12" max="12" width="7.28515625" customWidth="1"/>
    <col min="13" max="13" width="6.85546875" customWidth="1"/>
    <col min="14" max="14" width="6.140625" customWidth="1"/>
    <col min="15" max="15" width="5.28515625" customWidth="1"/>
    <col min="16" max="16" width="24.140625" customWidth="1"/>
    <col min="17" max="20" width="8.7109375" customWidth="1"/>
    <col min="21" max="21" width="10.28515625" customWidth="1"/>
    <col min="22" max="24" width="8.7109375" customWidth="1"/>
    <col min="28" max="28" width="5.28515625" customWidth="1"/>
    <col min="29" max="29" width="22.5703125" customWidth="1"/>
    <col min="30" max="30" width="8" customWidth="1"/>
    <col min="34" max="34" width="10.28515625" customWidth="1"/>
    <col min="35" max="35" width="10.140625" bestFit="1" customWidth="1"/>
  </cols>
  <sheetData>
    <row r="1" spans="1:24" ht="24.95" customHeight="1" x14ac:dyDescent="0.2">
      <c r="G1" s="349"/>
      <c r="H1" s="349"/>
      <c r="I1" s="349"/>
      <c r="J1" s="349"/>
      <c r="U1" s="349"/>
      <c r="V1" s="349"/>
      <c r="W1" s="349"/>
      <c r="X1" s="349"/>
    </row>
    <row r="2" spans="1:24" ht="24.95" customHeight="1" x14ac:dyDescent="0.3">
      <c r="A2" s="422" t="s">
        <v>51</v>
      </c>
      <c r="B2" s="422"/>
      <c r="C2" s="422"/>
      <c r="D2" s="422"/>
      <c r="E2" s="422"/>
      <c r="F2" s="422"/>
      <c r="G2" s="422"/>
      <c r="H2" s="422"/>
      <c r="I2" s="422"/>
      <c r="J2" s="422"/>
      <c r="O2" s="452" t="s">
        <v>51</v>
      </c>
      <c r="P2" s="452"/>
      <c r="Q2" s="452"/>
      <c r="R2" s="452"/>
      <c r="S2" s="452"/>
      <c r="T2" s="452"/>
      <c r="U2" s="452"/>
      <c r="V2" s="452"/>
      <c r="W2" s="452"/>
      <c r="X2" s="452"/>
    </row>
    <row r="3" spans="1:24" ht="24.95" customHeight="1" x14ac:dyDescent="0.3">
      <c r="A3" s="422" t="s">
        <v>53</v>
      </c>
      <c r="B3" s="422"/>
      <c r="C3" s="422"/>
      <c r="D3" s="422"/>
      <c r="E3" s="422"/>
      <c r="F3" s="422"/>
      <c r="G3" s="422"/>
      <c r="H3" s="422"/>
      <c r="I3" s="422"/>
      <c r="J3" s="422"/>
      <c r="O3" s="452" t="s">
        <v>53</v>
      </c>
      <c r="P3" s="452"/>
      <c r="Q3" s="452"/>
      <c r="R3" s="452"/>
      <c r="S3" s="452"/>
      <c r="T3" s="452"/>
      <c r="U3" s="452"/>
      <c r="V3" s="452"/>
      <c r="W3" s="452"/>
      <c r="X3" s="452"/>
    </row>
    <row r="4" spans="1:24" ht="24.95" customHeight="1" x14ac:dyDescent="0.3">
      <c r="A4" s="422" t="s">
        <v>114</v>
      </c>
      <c r="B4" s="422"/>
      <c r="C4" s="422"/>
      <c r="D4" s="422"/>
      <c r="E4" s="422"/>
      <c r="F4" s="422"/>
      <c r="G4" s="422"/>
      <c r="H4" s="422"/>
      <c r="I4" s="422"/>
      <c r="J4" s="422"/>
      <c r="L4" s="13"/>
      <c r="O4" s="452" t="s">
        <v>52</v>
      </c>
      <c r="P4" s="452"/>
      <c r="Q4" s="452"/>
      <c r="R4" s="452"/>
      <c r="S4" s="452"/>
      <c r="T4" s="452"/>
      <c r="U4" s="452"/>
      <c r="V4" s="452"/>
      <c r="W4" s="452"/>
      <c r="X4" s="452"/>
    </row>
    <row r="5" spans="1:24" ht="24.95" customHeight="1" x14ac:dyDescent="0.3">
      <c r="A5" s="350"/>
      <c r="B5" s="350"/>
      <c r="C5" s="350"/>
      <c r="D5" s="350"/>
      <c r="E5" s="350"/>
      <c r="F5" s="350"/>
      <c r="G5" s="350"/>
      <c r="H5" s="350"/>
      <c r="I5" s="350"/>
      <c r="J5" s="350"/>
      <c r="O5" s="355"/>
      <c r="P5" s="355"/>
      <c r="Q5" s="355"/>
      <c r="R5" s="355"/>
      <c r="S5" s="355"/>
      <c r="T5" s="355"/>
      <c r="U5" s="355"/>
      <c r="V5" s="355"/>
      <c r="W5" s="355"/>
      <c r="X5" s="355"/>
    </row>
    <row r="6" spans="1:24" ht="24.95" customHeight="1" x14ac:dyDescent="0.2">
      <c r="A6" s="211" t="s">
        <v>0</v>
      </c>
      <c r="B6" s="354"/>
      <c r="C6" s="211" t="s">
        <v>1</v>
      </c>
      <c r="D6" s="211"/>
      <c r="E6" s="211"/>
      <c r="F6" s="211"/>
      <c r="G6" s="211"/>
      <c r="H6" s="211"/>
      <c r="I6" s="211"/>
      <c r="J6" s="211"/>
      <c r="O6" t="s">
        <v>0</v>
      </c>
      <c r="P6" s="349"/>
      <c r="Q6" t="s">
        <v>1</v>
      </c>
    </row>
    <row r="7" spans="1:24" ht="24.95" customHeight="1" thickBot="1" x14ac:dyDescent="0.25"/>
    <row r="8" spans="1:24" ht="30" customHeight="1" thickTop="1" thickBot="1" x14ac:dyDescent="0.25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3" t="s">
        <v>42</v>
      </c>
      <c r="G8" s="3" t="s">
        <v>8</v>
      </c>
      <c r="H8" s="3" t="s">
        <v>9</v>
      </c>
      <c r="I8" s="3" t="s">
        <v>10</v>
      </c>
      <c r="J8" s="4" t="s">
        <v>11</v>
      </c>
      <c r="L8" s="370" t="s">
        <v>48</v>
      </c>
      <c r="O8" s="1" t="s">
        <v>2</v>
      </c>
      <c r="P8" s="2" t="s">
        <v>3</v>
      </c>
      <c r="Q8" s="2" t="s">
        <v>4</v>
      </c>
      <c r="R8" s="2" t="s">
        <v>5</v>
      </c>
      <c r="S8" s="2" t="s">
        <v>6</v>
      </c>
      <c r="T8" s="3" t="s">
        <v>42</v>
      </c>
      <c r="U8" s="3" t="s">
        <v>8</v>
      </c>
      <c r="V8" s="3" t="s">
        <v>9</v>
      </c>
      <c r="W8" s="3" t="s">
        <v>10</v>
      </c>
      <c r="X8" s="4" t="s">
        <v>11</v>
      </c>
    </row>
    <row r="9" spans="1:24" ht="24.95" customHeight="1" thickTop="1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7">
        <v>10</v>
      </c>
      <c r="K9" s="45" t="s">
        <v>4</v>
      </c>
      <c r="L9" s="352" t="s">
        <v>5</v>
      </c>
      <c r="M9" s="45" t="s">
        <v>6</v>
      </c>
      <c r="N9" s="45" t="s">
        <v>160</v>
      </c>
      <c r="O9" s="5">
        <v>1</v>
      </c>
      <c r="P9" s="6">
        <v>2</v>
      </c>
      <c r="Q9" s="6">
        <v>3</v>
      </c>
      <c r="R9" s="6">
        <v>4</v>
      </c>
      <c r="S9" s="6">
        <v>5</v>
      </c>
      <c r="T9" s="6">
        <v>6</v>
      </c>
      <c r="U9" s="6">
        <v>7</v>
      </c>
      <c r="V9" s="6">
        <v>8</v>
      </c>
      <c r="W9" s="6">
        <v>9</v>
      </c>
      <c r="X9" s="7">
        <v>10</v>
      </c>
    </row>
    <row r="10" spans="1:24" ht="24.95" customHeight="1" thickTop="1" x14ac:dyDescent="0.2">
      <c r="A10" s="55">
        <v>1</v>
      </c>
      <c r="B10" s="374" t="s">
        <v>79</v>
      </c>
      <c r="C10" s="175">
        <v>10</v>
      </c>
      <c r="D10" s="175">
        <v>88</v>
      </c>
      <c r="E10" s="222">
        <f>304-6-5</f>
        <v>293</v>
      </c>
      <c r="F10" s="175">
        <f t="shared" ref="F10:F15" si="0">E10+D10+C10</f>
        <v>391</v>
      </c>
      <c r="G10" s="191">
        <f>H10/1000*D10</f>
        <v>79.463999999999999</v>
      </c>
      <c r="H10" s="175">
        <v>903</v>
      </c>
      <c r="I10" s="175">
        <f>536-6-2</f>
        <v>528</v>
      </c>
      <c r="J10" s="96">
        <f>F10-T10</f>
        <v>-11</v>
      </c>
      <c r="K10" s="13">
        <f t="shared" ref="K10:M15" si="1">C10-Q10</f>
        <v>0</v>
      </c>
      <c r="L10" s="332">
        <f t="shared" si="1"/>
        <v>0</v>
      </c>
      <c r="M10" s="332">
        <f t="shared" si="1"/>
        <v>-11</v>
      </c>
      <c r="N10" s="13">
        <f>I10-W10</f>
        <v>-8</v>
      </c>
      <c r="O10" s="55">
        <v>1</v>
      </c>
      <c r="P10" s="50" t="s">
        <v>79</v>
      </c>
      <c r="Q10" s="175">
        <v>10</v>
      </c>
      <c r="R10" s="175">
        <v>88</v>
      </c>
      <c r="S10" s="222">
        <f>304.5-0.5</f>
        <v>304</v>
      </c>
      <c r="T10" s="175">
        <f t="shared" ref="T10:T15" si="2">S10+R10+Q10</f>
        <v>402</v>
      </c>
      <c r="U10" s="191">
        <f>V10/1000*R10</f>
        <v>79.463999999999999</v>
      </c>
      <c r="V10" s="175">
        <v>903</v>
      </c>
      <c r="W10" s="175">
        <f>541-5</f>
        <v>536</v>
      </c>
      <c r="X10" s="17"/>
    </row>
    <row r="11" spans="1:24" ht="24.95" customHeight="1" x14ac:dyDescent="0.2">
      <c r="A11" s="56">
        <v>2</v>
      </c>
      <c r="B11" s="375" t="s">
        <v>61</v>
      </c>
      <c r="C11" s="150">
        <v>46</v>
      </c>
      <c r="D11" s="150">
        <v>345</v>
      </c>
      <c r="E11" s="151">
        <f>100.4-1</f>
        <v>99.4</v>
      </c>
      <c r="F11" s="150">
        <f t="shared" si="0"/>
        <v>490.4</v>
      </c>
      <c r="G11" s="156">
        <f t="shared" ref="G11:G15" si="3">H11/1000*D11</f>
        <v>311.53500000000003</v>
      </c>
      <c r="H11" s="150">
        <v>903</v>
      </c>
      <c r="I11" s="150">
        <v>235</v>
      </c>
      <c r="J11" s="88">
        <f>F11-T11</f>
        <v>-1</v>
      </c>
      <c r="K11" s="13">
        <f t="shared" si="1"/>
        <v>0</v>
      </c>
      <c r="L11" s="332">
        <f t="shared" si="1"/>
        <v>0</v>
      </c>
      <c r="M11" s="332">
        <f t="shared" si="1"/>
        <v>-1</v>
      </c>
      <c r="N11" s="13">
        <f>I11-W11</f>
        <v>0</v>
      </c>
      <c r="O11" s="56">
        <v>2</v>
      </c>
      <c r="P11" s="51" t="s">
        <v>61</v>
      </c>
      <c r="Q11" s="150">
        <v>46</v>
      </c>
      <c r="R11" s="150">
        <v>345</v>
      </c>
      <c r="S11" s="151">
        <f>101.4-1</f>
        <v>100.4</v>
      </c>
      <c r="T11" s="150">
        <f t="shared" si="2"/>
        <v>491.4</v>
      </c>
      <c r="U11" s="156">
        <f t="shared" ref="U11:U15" si="4">V11/1000*R11</f>
        <v>311.53500000000003</v>
      </c>
      <c r="V11" s="150">
        <v>903</v>
      </c>
      <c r="W11" s="150">
        <v>235</v>
      </c>
      <c r="X11" s="32"/>
    </row>
    <row r="12" spans="1:24" ht="24.95" customHeight="1" x14ac:dyDescent="0.2">
      <c r="A12" s="57">
        <v>3</v>
      </c>
      <c r="B12" s="376" t="s">
        <v>75</v>
      </c>
      <c r="C12" s="150">
        <f>148-48</f>
        <v>100</v>
      </c>
      <c r="D12" s="150">
        <f>332-43</f>
        <v>289</v>
      </c>
      <c r="E12" s="150">
        <f>57+43+48-3</f>
        <v>145</v>
      </c>
      <c r="F12" s="150">
        <f t="shared" si="0"/>
        <v>534</v>
      </c>
      <c r="G12" s="156">
        <f t="shared" si="3"/>
        <v>260.96699999999998</v>
      </c>
      <c r="H12" s="150">
        <v>903</v>
      </c>
      <c r="I12" s="150">
        <f>519-3-2</f>
        <v>514</v>
      </c>
      <c r="J12" s="88">
        <f>F12-T12</f>
        <v>-3</v>
      </c>
      <c r="K12" s="13">
        <f t="shared" si="1"/>
        <v>-48</v>
      </c>
      <c r="L12" s="332">
        <f t="shared" si="1"/>
        <v>-43</v>
      </c>
      <c r="M12" s="332">
        <f t="shared" si="1"/>
        <v>88</v>
      </c>
      <c r="N12" s="13">
        <f>I12-W12</f>
        <v>-2</v>
      </c>
      <c r="O12" s="57">
        <v>3</v>
      </c>
      <c r="P12" s="52" t="s">
        <v>75</v>
      </c>
      <c r="Q12" s="150">
        <v>148</v>
      </c>
      <c r="R12" s="150">
        <v>332</v>
      </c>
      <c r="S12" s="150">
        <f>62-5</f>
        <v>57</v>
      </c>
      <c r="T12" s="150">
        <f t="shared" si="2"/>
        <v>537</v>
      </c>
      <c r="U12" s="156">
        <f t="shared" si="4"/>
        <v>299.79599999999999</v>
      </c>
      <c r="V12" s="150">
        <v>903</v>
      </c>
      <c r="W12" s="150">
        <f>519-3</f>
        <v>516</v>
      </c>
      <c r="X12" s="32"/>
    </row>
    <row r="13" spans="1:24" ht="24.95" customHeight="1" x14ac:dyDescent="0.2">
      <c r="A13" s="57">
        <v>4</v>
      </c>
      <c r="B13" s="376" t="s">
        <v>68</v>
      </c>
      <c r="C13" s="150">
        <v>24</v>
      </c>
      <c r="D13" s="150">
        <v>102</v>
      </c>
      <c r="E13" s="151">
        <f>93-1</f>
        <v>92</v>
      </c>
      <c r="F13" s="150">
        <f t="shared" si="0"/>
        <v>218</v>
      </c>
      <c r="G13" s="156">
        <f t="shared" si="3"/>
        <v>92.106000000000009</v>
      </c>
      <c r="H13" s="150">
        <v>903</v>
      </c>
      <c r="I13" s="150">
        <v>236</v>
      </c>
      <c r="J13" s="88">
        <f>F13-T13</f>
        <v>-1</v>
      </c>
      <c r="K13" s="13">
        <f t="shared" si="1"/>
        <v>0</v>
      </c>
      <c r="L13" s="332">
        <f t="shared" si="1"/>
        <v>0</v>
      </c>
      <c r="M13" s="332">
        <f t="shared" si="1"/>
        <v>-1</v>
      </c>
      <c r="N13" s="13">
        <f>I13-W13</f>
        <v>0</v>
      </c>
      <c r="O13" s="57">
        <v>4</v>
      </c>
      <c r="P13" s="52" t="s">
        <v>68</v>
      </c>
      <c r="Q13" s="150">
        <v>24</v>
      </c>
      <c r="R13" s="150">
        <v>102</v>
      </c>
      <c r="S13" s="151">
        <f>94-1</f>
        <v>93</v>
      </c>
      <c r="T13" s="150">
        <f t="shared" si="2"/>
        <v>219</v>
      </c>
      <c r="U13" s="156">
        <f t="shared" si="4"/>
        <v>92.106000000000009</v>
      </c>
      <c r="V13" s="150">
        <v>903</v>
      </c>
      <c r="W13" s="150">
        <v>236</v>
      </c>
      <c r="X13" s="32"/>
    </row>
    <row r="14" spans="1:24" ht="24.95" customHeight="1" x14ac:dyDescent="0.2">
      <c r="A14" s="57">
        <v>5</v>
      </c>
      <c r="B14" s="268" t="s">
        <v>66</v>
      </c>
      <c r="C14" s="150">
        <v>41</v>
      </c>
      <c r="D14" s="150">
        <v>120</v>
      </c>
      <c r="E14" s="151">
        <f>136-3</f>
        <v>133</v>
      </c>
      <c r="F14" s="150">
        <f t="shared" si="0"/>
        <v>294</v>
      </c>
      <c r="G14" s="156">
        <f t="shared" si="3"/>
        <v>108.36</v>
      </c>
      <c r="H14" s="150">
        <v>903</v>
      </c>
      <c r="I14" s="152">
        <f>359-1</f>
        <v>358</v>
      </c>
      <c r="J14" s="88"/>
      <c r="K14" s="13">
        <f t="shared" si="1"/>
        <v>0</v>
      </c>
      <c r="L14" s="332">
        <f t="shared" si="1"/>
        <v>0</v>
      </c>
      <c r="M14" s="332">
        <f t="shared" si="1"/>
        <v>0</v>
      </c>
      <c r="N14" s="13"/>
      <c r="O14" s="57">
        <v>5</v>
      </c>
      <c r="P14" s="52" t="s">
        <v>66</v>
      </c>
      <c r="Q14" s="150">
        <v>41</v>
      </c>
      <c r="R14" s="150">
        <v>120</v>
      </c>
      <c r="S14" s="151">
        <f>136-3</f>
        <v>133</v>
      </c>
      <c r="T14" s="150">
        <f t="shared" si="2"/>
        <v>294</v>
      </c>
      <c r="U14" s="156">
        <f t="shared" si="4"/>
        <v>108.36</v>
      </c>
      <c r="V14" s="150">
        <v>903</v>
      </c>
      <c r="W14" s="152">
        <f>359-1</f>
        <v>358</v>
      </c>
      <c r="X14" s="30"/>
    </row>
    <row r="15" spans="1:24" ht="24.95" customHeight="1" x14ac:dyDescent="0.2">
      <c r="A15" s="57">
        <v>6</v>
      </c>
      <c r="B15" s="377" t="s">
        <v>67</v>
      </c>
      <c r="C15" s="201">
        <f>62-3-2</f>
        <v>57</v>
      </c>
      <c r="D15" s="150">
        <f>583+3+2</f>
        <v>588</v>
      </c>
      <c r="E15" s="151">
        <f>152-5-4</f>
        <v>143</v>
      </c>
      <c r="F15" s="150">
        <f t="shared" si="0"/>
        <v>788</v>
      </c>
      <c r="G15" s="156">
        <f t="shared" si="3"/>
        <v>530.96400000000006</v>
      </c>
      <c r="H15" s="150">
        <v>903</v>
      </c>
      <c r="I15" s="150">
        <f>823-5-2</f>
        <v>816</v>
      </c>
      <c r="J15" s="97">
        <f>F15-T15</f>
        <v>-9</v>
      </c>
      <c r="K15" s="13">
        <f t="shared" si="1"/>
        <v>-5</v>
      </c>
      <c r="L15" s="332">
        <f t="shared" si="1"/>
        <v>5</v>
      </c>
      <c r="M15" s="332">
        <f t="shared" si="1"/>
        <v>-9</v>
      </c>
      <c r="N15" s="13">
        <f>I15-W15</f>
        <v>-7</v>
      </c>
      <c r="O15" s="57">
        <v>6</v>
      </c>
      <c r="P15" s="53" t="s">
        <v>67</v>
      </c>
      <c r="Q15" s="201">
        <v>62</v>
      </c>
      <c r="R15" s="150">
        <v>583</v>
      </c>
      <c r="S15" s="151">
        <f>154-2</f>
        <v>152</v>
      </c>
      <c r="T15" s="150">
        <f t="shared" si="2"/>
        <v>797</v>
      </c>
      <c r="U15" s="156">
        <f t="shared" si="4"/>
        <v>526.44900000000007</v>
      </c>
      <c r="V15" s="150">
        <v>903</v>
      </c>
      <c r="W15" s="150">
        <f>824-1</f>
        <v>823</v>
      </c>
      <c r="X15" s="32"/>
    </row>
    <row r="16" spans="1:24" ht="24.95" customHeight="1" x14ac:dyDescent="0.2">
      <c r="A16" s="57">
        <v>7</v>
      </c>
      <c r="B16" s="268" t="s">
        <v>69</v>
      </c>
      <c r="C16" s="152" t="s">
        <v>12</v>
      </c>
      <c r="D16" s="152" t="s">
        <v>12</v>
      </c>
      <c r="E16" s="202" t="s">
        <v>12</v>
      </c>
      <c r="F16" s="152" t="s">
        <v>12</v>
      </c>
      <c r="G16" s="153" t="s">
        <v>12</v>
      </c>
      <c r="H16" s="152" t="s">
        <v>12</v>
      </c>
      <c r="I16" s="152" t="s">
        <v>12</v>
      </c>
      <c r="J16" s="88"/>
      <c r="L16" s="332"/>
      <c r="M16" s="332"/>
      <c r="O16" s="57">
        <v>7</v>
      </c>
      <c r="P16" s="52" t="s">
        <v>69</v>
      </c>
      <c r="Q16" s="152" t="s">
        <v>12</v>
      </c>
      <c r="R16" s="152" t="s">
        <v>12</v>
      </c>
      <c r="S16" s="202" t="s">
        <v>12</v>
      </c>
      <c r="T16" s="152" t="s">
        <v>12</v>
      </c>
      <c r="U16" s="153" t="s">
        <v>12</v>
      </c>
      <c r="V16" s="152" t="s">
        <v>12</v>
      </c>
      <c r="W16" s="152" t="s">
        <v>12</v>
      </c>
      <c r="X16" s="32"/>
    </row>
    <row r="17" spans="1:24" ht="24.95" customHeight="1" x14ac:dyDescent="0.2">
      <c r="A17" s="57">
        <v>8</v>
      </c>
      <c r="B17" s="268" t="s">
        <v>70</v>
      </c>
      <c r="C17" s="152" t="s">
        <v>12</v>
      </c>
      <c r="D17" s="152" t="s">
        <v>12</v>
      </c>
      <c r="E17" s="152" t="s">
        <v>12</v>
      </c>
      <c r="F17" s="152" t="s">
        <v>12</v>
      </c>
      <c r="G17" s="153" t="s">
        <v>12</v>
      </c>
      <c r="H17" s="152" t="s">
        <v>12</v>
      </c>
      <c r="I17" s="203" t="s">
        <v>12</v>
      </c>
      <c r="J17" s="88"/>
      <c r="L17" s="332"/>
      <c r="M17" s="332"/>
      <c r="O17" s="57">
        <v>8</v>
      </c>
      <c r="P17" s="52" t="s">
        <v>70</v>
      </c>
      <c r="Q17" s="152" t="s">
        <v>12</v>
      </c>
      <c r="R17" s="152" t="s">
        <v>12</v>
      </c>
      <c r="S17" s="152" t="s">
        <v>12</v>
      </c>
      <c r="T17" s="152" t="s">
        <v>12</v>
      </c>
      <c r="U17" s="153" t="s">
        <v>12</v>
      </c>
      <c r="V17" s="152" t="s">
        <v>12</v>
      </c>
      <c r="W17" s="203" t="s">
        <v>12</v>
      </c>
      <c r="X17" s="32"/>
    </row>
    <row r="18" spans="1:24" ht="24.95" customHeight="1" x14ac:dyDescent="0.2">
      <c r="A18" s="57">
        <v>9</v>
      </c>
      <c r="B18" s="268" t="s">
        <v>71</v>
      </c>
      <c r="C18" s="152" t="s">
        <v>12</v>
      </c>
      <c r="D18" s="152" t="s">
        <v>12</v>
      </c>
      <c r="E18" s="202" t="s">
        <v>12</v>
      </c>
      <c r="F18" s="152" t="s">
        <v>12</v>
      </c>
      <c r="G18" s="153" t="s">
        <v>12</v>
      </c>
      <c r="H18" s="152" t="s">
        <v>12</v>
      </c>
      <c r="I18" s="152" t="s">
        <v>12</v>
      </c>
      <c r="J18" s="88"/>
      <c r="L18" s="332"/>
      <c r="M18" s="332"/>
      <c r="O18" s="57">
        <v>9</v>
      </c>
      <c r="P18" s="52" t="s">
        <v>71</v>
      </c>
      <c r="Q18" s="152" t="s">
        <v>12</v>
      </c>
      <c r="R18" s="152" t="s">
        <v>12</v>
      </c>
      <c r="S18" s="202" t="s">
        <v>12</v>
      </c>
      <c r="T18" s="152" t="s">
        <v>12</v>
      </c>
      <c r="U18" s="153" t="s">
        <v>12</v>
      </c>
      <c r="V18" s="152" t="s">
        <v>12</v>
      </c>
      <c r="W18" s="152" t="s">
        <v>12</v>
      </c>
      <c r="X18" s="32"/>
    </row>
    <row r="19" spans="1:24" ht="24.95" customHeight="1" x14ac:dyDescent="0.2">
      <c r="A19" s="57">
        <v>10</v>
      </c>
      <c r="B19" s="376" t="s">
        <v>72</v>
      </c>
      <c r="C19" s="150">
        <f>11-1</f>
        <v>10</v>
      </c>
      <c r="D19" s="152">
        <v>19</v>
      </c>
      <c r="E19" s="151">
        <f>35+1</f>
        <v>36</v>
      </c>
      <c r="F19" s="150">
        <f t="shared" ref="F19" si="5">E19+D19+C19</f>
        <v>65</v>
      </c>
      <c r="G19" s="156">
        <f t="shared" ref="G19:G20" si="6">H19/1000*D19</f>
        <v>17.157</v>
      </c>
      <c r="H19" s="150">
        <v>903</v>
      </c>
      <c r="I19" s="150">
        <f>34-1</f>
        <v>33</v>
      </c>
      <c r="J19" s="88"/>
      <c r="K19" s="13">
        <f>C19-Q19</f>
        <v>-1</v>
      </c>
      <c r="L19" s="332">
        <f>D19-R19</f>
        <v>0</v>
      </c>
      <c r="M19" s="332">
        <f>E19-S19</f>
        <v>1</v>
      </c>
      <c r="N19" s="13">
        <f>I19-W19</f>
        <v>-1</v>
      </c>
      <c r="O19" s="57">
        <v>10</v>
      </c>
      <c r="P19" s="52" t="s">
        <v>72</v>
      </c>
      <c r="Q19" s="150">
        <v>11</v>
      </c>
      <c r="R19" s="152">
        <v>19</v>
      </c>
      <c r="S19" s="151">
        <v>35</v>
      </c>
      <c r="T19" s="150">
        <f t="shared" ref="T19" si="7">S19+R19+Q19</f>
        <v>65</v>
      </c>
      <c r="U19" s="156">
        <f t="shared" ref="U19:U20" si="8">V19/1000*R19</f>
        <v>17.157</v>
      </c>
      <c r="V19" s="150">
        <v>903</v>
      </c>
      <c r="W19" s="150">
        <v>34</v>
      </c>
      <c r="X19" s="32"/>
    </row>
    <row r="20" spans="1:24" ht="24.95" customHeight="1" thickBot="1" x14ac:dyDescent="0.25">
      <c r="A20" s="57">
        <v>11</v>
      </c>
      <c r="B20" s="371" t="s">
        <v>73</v>
      </c>
      <c r="C20" s="204">
        <v>130</v>
      </c>
      <c r="D20" s="204">
        <v>118</v>
      </c>
      <c r="E20" s="205">
        <f>25-10</f>
        <v>15</v>
      </c>
      <c r="F20" s="204">
        <f>E20+D20+C20</f>
        <v>263</v>
      </c>
      <c r="G20" s="264">
        <f t="shared" si="6"/>
        <v>106.554</v>
      </c>
      <c r="H20" s="204">
        <v>903</v>
      </c>
      <c r="I20" s="204">
        <f>224-10</f>
        <v>214</v>
      </c>
      <c r="J20" s="98"/>
      <c r="L20" s="332"/>
      <c r="M20" s="332"/>
      <c r="O20" s="60">
        <v>11</v>
      </c>
      <c r="P20" s="54" t="s">
        <v>73</v>
      </c>
      <c r="Q20" s="204">
        <v>130</v>
      </c>
      <c r="R20" s="204">
        <v>118</v>
      </c>
      <c r="S20" s="205">
        <f>25-10</f>
        <v>15</v>
      </c>
      <c r="T20" s="204">
        <f>S20+R20+Q20</f>
        <v>263</v>
      </c>
      <c r="U20" s="264">
        <f t="shared" si="8"/>
        <v>106.554</v>
      </c>
      <c r="V20" s="204">
        <v>903</v>
      </c>
      <c r="W20" s="204">
        <f>224-10</f>
        <v>214</v>
      </c>
      <c r="X20" s="49"/>
    </row>
    <row r="21" spans="1:24" ht="24.95" customHeight="1" thickTop="1" thickBot="1" x14ac:dyDescent="0.25">
      <c r="A21" s="456" t="s">
        <v>13</v>
      </c>
      <c r="B21" s="453"/>
      <c r="C21" s="58">
        <f>SUM(C10:C20)</f>
        <v>418</v>
      </c>
      <c r="D21" s="59">
        <f>SUM(D10:D20)</f>
        <v>1669</v>
      </c>
      <c r="E21" s="206">
        <f>SUM(E10:E20)</f>
        <v>956.4</v>
      </c>
      <c r="F21" s="59">
        <f>SUM(F10:F20)</f>
        <v>3043.4</v>
      </c>
      <c r="G21" s="99">
        <f>H21/1000*D21</f>
        <v>1507.107</v>
      </c>
      <c r="H21" s="165">
        <v>903</v>
      </c>
      <c r="I21" s="207">
        <f>SUM(I10:I20)</f>
        <v>2934</v>
      </c>
      <c r="J21" s="33">
        <f>SUM(J10:J15)</f>
        <v>-25</v>
      </c>
      <c r="L21" s="332"/>
      <c r="M21" s="332"/>
      <c r="O21" s="459" t="s">
        <v>13</v>
      </c>
      <c r="P21" s="453"/>
      <c r="Q21" s="58">
        <f>SUM(Q10:Q20)</f>
        <v>472</v>
      </c>
      <c r="R21" s="59">
        <f>SUM(R10:R20)</f>
        <v>1707</v>
      </c>
      <c r="S21" s="206">
        <f>SUM(S10:S20)</f>
        <v>889.4</v>
      </c>
      <c r="T21" s="59">
        <f>SUM(T10:T20)</f>
        <v>3068.4</v>
      </c>
      <c r="U21" s="99">
        <f>V21/1000*R21</f>
        <v>1541.421</v>
      </c>
      <c r="V21" s="165">
        <v>903</v>
      </c>
      <c r="W21" s="207">
        <f>SUM(W10:X20)</f>
        <v>2952</v>
      </c>
      <c r="X21" s="33"/>
    </row>
    <row r="22" spans="1:24" ht="24.95" customHeight="1" thickTop="1" x14ac:dyDescent="0.2">
      <c r="C22" s="40">
        <f t="shared" ref="C22:I22" si="9">C21-Q21</f>
        <v>-54</v>
      </c>
      <c r="D22" s="40">
        <f t="shared" si="9"/>
        <v>-38</v>
      </c>
      <c r="E22" s="341">
        <f t="shared" si="9"/>
        <v>67</v>
      </c>
      <c r="F22" s="341">
        <f t="shared" si="9"/>
        <v>-25</v>
      </c>
      <c r="G22" s="40">
        <f t="shared" si="9"/>
        <v>-34.314000000000078</v>
      </c>
      <c r="H22" s="40">
        <f t="shared" si="9"/>
        <v>0</v>
      </c>
      <c r="I22" s="40">
        <f t="shared" si="9"/>
        <v>-18</v>
      </c>
      <c r="K22" s="13">
        <f>SUM(K10:K15)</f>
        <v>-53</v>
      </c>
      <c r="L22" s="332">
        <f>SUM(L10:L20)</f>
        <v>-38</v>
      </c>
      <c r="M22" s="332">
        <f>SUM(M10:M21)</f>
        <v>67</v>
      </c>
      <c r="Q22" s="13"/>
      <c r="U22" s="25"/>
      <c r="W22" s="40"/>
    </row>
    <row r="23" spans="1:24" ht="24.95" customHeight="1" x14ac:dyDescent="0.2">
      <c r="A23" s="208" t="s">
        <v>4</v>
      </c>
      <c r="B23" s="209" t="s">
        <v>63</v>
      </c>
      <c r="C23" s="353"/>
      <c r="D23" s="35"/>
      <c r="E23" s="35"/>
      <c r="F23" s="13"/>
      <c r="G23" s="458"/>
      <c r="H23" s="412"/>
      <c r="I23" s="412"/>
      <c r="J23" s="412"/>
      <c r="Q23" s="13"/>
      <c r="R23" s="34"/>
      <c r="S23" s="35"/>
      <c r="T23" s="13"/>
      <c r="U23" s="48"/>
      <c r="V23" s="36"/>
      <c r="W23" s="36"/>
    </row>
    <row r="24" spans="1:24" ht="24.95" customHeight="1" x14ac:dyDescent="0.2">
      <c r="A24" s="208" t="s">
        <v>5</v>
      </c>
      <c r="B24" s="209" t="s">
        <v>64</v>
      </c>
      <c r="C24" s="211"/>
      <c r="F24" s="209"/>
      <c r="G24" s="412"/>
      <c r="H24" s="412"/>
      <c r="I24" s="412"/>
      <c r="J24" s="412"/>
      <c r="Q24" s="13"/>
      <c r="U24" s="45" t="s">
        <v>112</v>
      </c>
    </row>
    <row r="25" spans="1:24" ht="24.95" customHeight="1" x14ac:dyDescent="0.2">
      <c r="A25" s="208" t="s">
        <v>6</v>
      </c>
      <c r="B25" s="209" t="s">
        <v>65</v>
      </c>
      <c r="C25" s="211"/>
      <c r="F25" s="208"/>
      <c r="G25" s="412"/>
      <c r="H25" s="412"/>
      <c r="I25" s="412"/>
      <c r="J25" s="412"/>
      <c r="Q25" s="13"/>
      <c r="U25" s="47" t="s">
        <v>38</v>
      </c>
      <c r="V25" s="46"/>
      <c r="W25" s="46"/>
      <c r="X25" s="46"/>
    </row>
    <row r="26" spans="1:24" ht="24.95" customHeight="1" x14ac:dyDescent="0.2">
      <c r="F26" s="208"/>
      <c r="G26" s="124"/>
      <c r="H26" s="124"/>
      <c r="I26" s="124"/>
      <c r="J26" s="124"/>
      <c r="Q26" s="13"/>
      <c r="U26" s="45" t="s">
        <v>113</v>
      </c>
    </row>
    <row r="27" spans="1:24" ht="24.95" customHeight="1" x14ac:dyDescent="0.2">
      <c r="B27" s="351"/>
      <c r="C27" s="125"/>
      <c r="D27" s="125"/>
      <c r="E27" s="125"/>
      <c r="G27" s="412"/>
      <c r="H27" s="412"/>
      <c r="I27" s="412"/>
      <c r="J27" s="412"/>
      <c r="U27" s="47"/>
      <c r="V27" s="47"/>
      <c r="W27" s="47"/>
      <c r="X27" s="47"/>
    </row>
    <row r="28" spans="1:24" ht="24.95" customHeight="1" x14ac:dyDescent="0.2">
      <c r="B28" s="125"/>
      <c r="C28" s="125"/>
      <c r="D28" s="125"/>
      <c r="E28" s="125"/>
      <c r="G28" s="412"/>
      <c r="H28" s="412"/>
      <c r="I28" s="412"/>
      <c r="J28" s="412"/>
      <c r="U28" s="349"/>
      <c r="V28" s="349"/>
      <c r="W28" s="349"/>
      <c r="X28" s="349"/>
    </row>
    <row r="29" spans="1:24" ht="14.25" x14ac:dyDescent="0.2">
      <c r="B29" s="412"/>
      <c r="C29" s="412"/>
      <c r="D29" s="412"/>
      <c r="E29" s="412"/>
      <c r="G29" s="412"/>
      <c r="H29" s="412"/>
      <c r="I29" s="412"/>
      <c r="J29" s="412"/>
      <c r="U29" s="410"/>
      <c r="V29" s="410"/>
      <c r="W29" s="410"/>
      <c r="X29" s="410"/>
    </row>
    <row r="30" spans="1:24" ht="14.25" x14ac:dyDescent="0.2">
      <c r="B30" s="124"/>
      <c r="C30" s="124"/>
      <c r="D30" s="124"/>
      <c r="E30" s="124"/>
      <c r="G30" s="124"/>
      <c r="H30" s="124"/>
      <c r="I30" s="124"/>
      <c r="J30" s="124"/>
      <c r="U30" s="410"/>
      <c r="V30" s="410"/>
      <c r="W30" s="410"/>
      <c r="X30" s="410"/>
    </row>
    <row r="31" spans="1:24" ht="14.25" x14ac:dyDescent="0.2">
      <c r="B31" s="124"/>
      <c r="C31" s="124"/>
      <c r="D31" s="124"/>
      <c r="E31" s="124"/>
      <c r="G31" s="124"/>
      <c r="H31" s="124"/>
      <c r="I31" s="124"/>
      <c r="J31" s="124"/>
    </row>
    <row r="32" spans="1:24" ht="15" x14ac:dyDescent="0.25">
      <c r="B32" s="220"/>
      <c r="C32" s="220"/>
      <c r="D32" s="220"/>
      <c r="E32" s="220"/>
      <c r="G32" s="407"/>
      <c r="H32" s="407"/>
      <c r="I32" s="407"/>
      <c r="J32" s="407"/>
    </row>
    <row r="33" spans="2:24" ht="15" x14ac:dyDescent="0.25">
      <c r="B33" s="47"/>
      <c r="C33" s="46"/>
      <c r="D33" s="46"/>
      <c r="E33" s="46"/>
      <c r="G33" s="409"/>
      <c r="H33" s="410"/>
      <c r="I33" s="410"/>
      <c r="J33" s="410"/>
      <c r="U33" s="407"/>
      <c r="V33" s="407"/>
      <c r="W33" s="407"/>
      <c r="X33" s="407"/>
    </row>
    <row r="34" spans="2:24" x14ac:dyDescent="0.2">
      <c r="G34" s="410"/>
      <c r="H34" s="410"/>
      <c r="I34" s="410"/>
      <c r="J34" s="410"/>
      <c r="U34" s="410"/>
      <c r="V34" s="410"/>
      <c r="W34" s="410"/>
      <c r="X34" s="410"/>
    </row>
    <row r="35" spans="2:24" x14ac:dyDescent="0.2">
      <c r="G35" s="410"/>
      <c r="H35" s="410"/>
      <c r="I35" s="410"/>
      <c r="J35" s="410"/>
      <c r="U35" s="410"/>
      <c r="V35" s="410"/>
      <c r="W35" s="410"/>
      <c r="X35" s="410"/>
    </row>
    <row r="36" spans="2:24" x14ac:dyDescent="0.2">
      <c r="G36" s="349"/>
      <c r="H36" s="349"/>
      <c r="I36" s="349"/>
      <c r="J36" s="349"/>
      <c r="U36" s="349"/>
      <c r="V36" s="349"/>
      <c r="W36" s="349"/>
      <c r="X36" s="349"/>
    </row>
    <row r="37" spans="2:24" x14ac:dyDescent="0.2">
      <c r="G37" s="349"/>
      <c r="H37" s="349"/>
      <c r="I37" s="349"/>
      <c r="J37" s="349"/>
      <c r="U37" s="349"/>
      <c r="V37" s="349"/>
      <c r="W37" s="349"/>
      <c r="X37" s="349"/>
    </row>
    <row r="38" spans="2:24" x14ac:dyDescent="0.2">
      <c r="G38" s="349"/>
      <c r="H38" s="349"/>
      <c r="I38" s="349"/>
      <c r="J38" s="349"/>
      <c r="U38" s="349"/>
      <c r="V38" s="349"/>
      <c r="W38" s="349"/>
      <c r="X38" s="349"/>
    </row>
    <row r="39" spans="2:24" x14ac:dyDescent="0.2">
      <c r="G39" s="349"/>
      <c r="H39" s="349"/>
      <c r="I39" s="349"/>
      <c r="J39" s="349"/>
      <c r="U39" s="349"/>
      <c r="V39" s="349"/>
      <c r="W39" s="349"/>
      <c r="X39" s="349"/>
    </row>
    <row r="40" spans="2:24" x14ac:dyDescent="0.2">
      <c r="G40" s="349"/>
      <c r="H40" s="349"/>
      <c r="I40" s="349"/>
      <c r="J40" s="349"/>
      <c r="U40" s="349"/>
      <c r="V40" s="349"/>
      <c r="W40" s="349"/>
      <c r="X40" s="349"/>
    </row>
    <row r="41" spans="2:24" x14ac:dyDescent="0.2">
      <c r="G41" s="349"/>
      <c r="H41" s="349"/>
      <c r="I41" s="349"/>
      <c r="J41" s="349"/>
      <c r="U41" s="349"/>
      <c r="V41" s="349"/>
      <c r="W41" s="349"/>
      <c r="X41" s="349"/>
    </row>
    <row r="42" spans="2:24" x14ac:dyDescent="0.2">
      <c r="G42" s="349"/>
      <c r="H42" s="349"/>
      <c r="I42" s="349"/>
      <c r="J42" s="349"/>
      <c r="U42" s="349"/>
      <c r="V42" s="349"/>
      <c r="W42" s="349"/>
      <c r="X42" s="349"/>
    </row>
    <row r="43" spans="2:24" x14ac:dyDescent="0.2">
      <c r="G43" s="349"/>
      <c r="H43" s="349"/>
      <c r="I43" s="349"/>
      <c r="J43" s="349"/>
      <c r="U43" s="349"/>
      <c r="V43" s="349"/>
      <c r="W43" s="349"/>
      <c r="X43" s="349"/>
    </row>
    <row r="44" spans="2:24" x14ac:dyDescent="0.2">
      <c r="G44" s="349"/>
      <c r="H44" s="349"/>
      <c r="I44" s="349"/>
      <c r="J44" s="349"/>
      <c r="U44" s="349"/>
      <c r="V44" s="349"/>
      <c r="W44" s="349"/>
      <c r="X44" s="349"/>
    </row>
    <row r="45" spans="2:24" x14ac:dyDescent="0.2">
      <c r="G45" s="349"/>
      <c r="H45" s="349"/>
      <c r="I45" s="349"/>
      <c r="J45" s="349"/>
      <c r="U45" s="349"/>
      <c r="V45" s="349"/>
      <c r="W45" s="349"/>
      <c r="X45" s="349"/>
    </row>
    <row r="46" spans="2:24" x14ac:dyDescent="0.2">
      <c r="G46" s="349"/>
      <c r="H46" s="349"/>
      <c r="I46" s="349"/>
      <c r="J46" s="349"/>
      <c r="U46" s="349"/>
      <c r="V46" s="349"/>
      <c r="W46" s="349"/>
      <c r="X46" s="349"/>
    </row>
    <row r="47" spans="2:24" x14ac:dyDescent="0.2">
      <c r="G47" s="349"/>
      <c r="H47" s="349"/>
      <c r="I47" s="349"/>
      <c r="J47" s="349"/>
      <c r="U47" s="349"/>
      <c r="V47" s="349"/>
      <c r="W47" s="349"/>
      <c r="X47" s="349"/>
    </row>
    <row r="48" spans="2:24" ht="24.95" customHeight="1" x14ac:dyDescent="0.2">
      <c r="G48" s="349"/>
      <c r="H48" s="349"/>
      <c r="I48" s="349"/>
      <c r="J48" s="349"/>
      <c r="U48" s="349"/>
      <c r="V48" s="349"/>
      <c r="W48" s="349"/>
      <c r="X48" s="349"/>
    </row>
    <row r="49" spans="1:26" ht="24.95" customHeight="1" x14ac:dyDescent="0.3">
      <c r="A49" s="422" t="s">
        <v>51</v>
      </c>
      <c r="B49" s="422"/>
      <c r="C49" s="422"/>
      <c r="D49" s="422"/>
      <c r="E49" s="422"/>
      <c r="F49" s="422"/>
      <c r="G49" s="422"/>
      <c r="H49" s="422"/>
      <c r="I49" s="422"/>
      <c r="J49" s="422"/>
      <c r="O49" s="452" t="s">
        <v>51</v>
      </c>
      <c r="P49" s="452"/>
      <c r="Q49" s="452"/>
      <c r="R49" s="452"/>
      <c r="S49" s="452"/>
      <c r="T49" s="452"/>
      <c r="U49" s="452"/>
      <c r="V49" s="452"/>
      <c r="W49" s="452"/>
      <c r="X49" s="452"/>
    </row>
    <row r="50" spans="1:26" ht="24.95" customHeight="1" x14ac:dyDescent="0.3">
      <c r="A50" s="422" t="s">
        <v>53</v>
      </c>
      <c r="B50" s="422"/>
      <c r="C50" s="422"/>
      <c r="D50" s="422"/>
      <c r="E50" s="422"/>
      <c r="F50" s="422"/>
      <c r="G50" s="422"/>
      <c r="H50" s="422"/>
      <c r="I50" s="422"/>
      <c r="J50" s="422"/>
      <c r="O50" s="452" t="s">
        <v>53</v>
      </c>
      <c r="P50" s="452"/>
      <c r="Q50" s="452"/>
      <c r="R50" s="452"/>
      <c r="S50" s="452"/>
      <c r="T50" s="452"/>
      <c r="U50" s="452"/>
      <c r="V50" s="452"/>
      <c r="W50" s="452"/>
      <c r="X50" s="452"/>
    </row>
    <row r="51" spans="1:26" ht="24.95" customHeight="1" x14ac:dyDescent="0.3">
      <c r="A51" s="422" t="s">
        <v>114</v>
      </c>
      <c r="B51" s="422"/>
      <c r="C51" s="422"/>
      <c r="D51" s="422"/>
      <c r="E51" s="422"/>
      <c r="F51" s="422"/>
      <c r="G51" s="422"/>
      <c r="H51" s="422"/>
      <c r="I51" s="422"/>
      <c r="J51" s="422"/>
      <c r="O51" s="452" t="s">
        <v>52</v>
      </c>
      <c r="P51" s="452"/>
      <c r="Q51" s="452"/>
      <c r="R51" s="452"/>
      <c r="S51" s="452"/>
      <c r="T51" s="452"/>
      <c r="U51" s="452"/>
      <c r="V51" s="452"/>
      <c r="W51" s="452"/>
      <c r="X51" s="452"/>
    </row>
    <row r="52" spans="1:26" ht="24.95" customHeight="1" x14ac:dyDescent="0.2">
      <c r="A52" s="211"/>
      <c r="B52" s="211"/>
      <c r="C52" s="211"/>
      <c r="D52" s="211"/>
      <c r="E52" s="211"/>
      <c r="F52" s="211"/>
      <c r="G52" s="211"/>
      <c r="H52" s="211"/>
      <c r="I52" s="211"/>
      <c r="J52" s="211"/>
    </row>
    <row r="53" spans="1:26" ht="24.95" customHeight="1" x14ac:dyDescent="0.2">
      <c r="A53" s="211" t="s">
        <v>0</v>
      </c>
      <c r="B53" s="211"/>
      <c r="C53" s="223" t="s">
        <v>14</v>
      </c>
      <c r="D53" s="223"/>
      <c r="E53" s="211"/>
      <c r="F53" s="211"/>
      <c r="G53" s="211"/>
      <c r="H53" s="211"/>
      <c r="I53" s="211"/>
      <c r="J53" s="211"/>
      <c r="O53" t="s">
        <v>0</v>
      </c>
      <c r="Q53" t="s">
        <v>14</v>
      </c>
    </row>
    <row r="54" spans="1:26" ht="24.95" customHeight="1" thickBot="1" x14ac:dyDescent="0.25">
      <c r="A54" s="208"/>
      <c r="B54" s="211"/>
      <c r="C54" s="211"/>
      <c r="D54" s="211"/>
      <c r="E54" s="208"/>
      <c r="F54" s="211"/>
      <c r="G54" s="211"/>
      <c r="H54" s="211"/>
      <c r="I54" s="211"/>
      <c r="J54" s="211"/>
      <c r="O54" s="45"/>
      <c r="S54" s="45"/>
    </row>
    <row r="55" spans="1:26" ht="37.5" customHeight="1" thickTop="1" thickBot="1" x14ac:dyDescent="0.25">
      <c r="A55" s="1" t="s">
        <v>2</v>
      </c>
      <c r="B55" s="2" t="s">
        <v>3</v>
      </c>
      <c r="C55" s="2" t="s">
        <v>4</v>
      </c>
      <c r="D55" s="2" t="s">
        <v>5</v>
      </c>
      <c r="E55" s="2" t="s">
        <v>6</v>
      </c>
      <c r="F55" s="3" t="s">
        <v>43</v>
      </c>
      <c r="G55" s="3" t="s">
        <v>8</v>
      </c>
      <c r="H55" s="3" t="s">
        <v>9</v>
      </c>
      <c r="I55" s="3" t="s">
        <v>10</v>
      </c>
      <c r="J55" s="4" t="s">
        <v>11</v>
      </c>
      <c r="L55" s="370" t="s">
        <v>48</v>
      </c>
      <c r="O55" s="1" t="s">
        <v>2</v>
      </c>
      <c r="P55" s="2" t="s">
        <v>3</v>
      </c>
      <c r="Q55" s="2" t="s">
        <v>4</v>
      </c>
      <c r="R55" s="2" t="s">
        <v>5</v>
      </c>
      <c r="S55" s="2" t="s">
        <v>6</v>
      </c>
      <c r="T55" s="3" t="s">
        <v>43</v>
      </c>
      <c r="U55" s="3" t="s">
        <v>8</v>
      </c>
      <c r="V55" s="3" t="s">
        <v>9</v>
      </c>
      <c r="W55" s="3" t="s">
        <v>10</v>
      </c>
      <c r="X55" s="4" t="s">
        <v>11</v>
      </c>
    </row>
    <row r="56" spans="1:26" ht="24.95" customHeight="1" thickTop="1" thickBot="1" x14ac:dyDescent="0.3">
      <c r="A56" s="27">
        <v>1</v>
      </c>
      <c r="B56" s="28">
        <v>2</v>
      </c>
      <c r="C56" s="28">
        <v>3</v>
      </c>
      <c r="D56" s="28">
        <v>4</v>
      </c>
      <c r="E56" s="28">
        <v>5</v>
      </c>
      <c r="F56" s="28">
        <v>6</v>
      </c>
      <c r="G56" s="28">
        <v>7</v>
      </c>
      <c r="H56" s="28">
        <v>8</v>
      </c>
      <c r="I56" s="28">
        <v>9</v>
      </c>
      <c r="J56" s="29">
        <v>10</v>
      </c>
      <c r="K56" t="s">
        <v>158</v>
      </c>
      <c r="L56" t="s">
        <v>157</v>
      </c>
      <c r="M56" t="s">
        <v>159</v>
      </c>
      <c r="N56" s="45" t="s">
        <v>162</v>
      </c>
      <c r="O56" s="27">
        <v>1</v>
      </c>
      <c r="P56" s="28">
        <v>2</v>
      </c>
      <c r="Q56" s="28">
        <v>3</v>
      </c>
      <c r="R56" s="28">
        <v>4</v>
      </c>
      <c r="S56" s="28">
        <v>5</v>
      </c>
      <c r="T56" s="28">
        <v>6</v>
      </c>
      <c r="U56" s="28">
        <v>7</v>
      </c>
      <c r="V56" s="28">
        <v>8</v>
      </c>
      <c r="W56" s="28">
        <v>9</v>
      </c>
      <c r="X56" s="29">
        <v>10</v>
      </c>
      <c r="Y56" t="s">
        <v>162</v>
      </c>
      <c r="Z56" t="s">
        <v>161</v>
      </c>
    </row>
    <row r="57" spans="1:26" ht="24.95" customHeight="1" thickTop="1" x14ac:dyDescent="0.2">
      <c r="A57" s="55">
        <v>1</v>
      </c>
      <c r="B57" s="374" t="s">
        <v>79</v>
      </c>
      <c r="C57" s="143">
        <f>643+10+6+26+5</f>
        <v>690</v>
      </c>
      <c r="D57" s="143">
        <v>3314</v>
      </c>
      <c r="E57" s="155">
        <f>1220.5-10-26</f>
        <v>1184.5</v>
      </c>
      <c r="F57" s="143">
        <f>E57+D57+C57</f>
        <v>5188.5</v>
      </c>
      <c r="G57" s="147">
        <f>H57/1000*D57</f>
        <v>11453.183999999999</v>
      </c>
      <c r="H57" s="143">
        <v>3456</v>
      </c>
      <c r="I57" s="143">
        <f>1288+5+6+2</f>
        <v>1301</v>
      </c>
      <c r="J57" s="100">
        <f t="shared" ref="J57:J63" si="10">F57-T57</f>
        <v>11</v>
      </c>
      <c r="K57" s="13">
        <f t="shared" ref="K57:K64" si="11">D57-R57</f>
        <v>0</v>
      </c>
      <c r="L57" s="332">
        <f>C57-Q57</f>
        <v>47</v>
      </c>
      <c r="M57" s="332">
        <f t="shared" ref="M57:M65" si="12">E57-S57</f>
        <v>-36</v>
      </c>
      <c r="N57" s="332">
        <f>I57-W57</f>
        <v>8</v>
      </c>
      <c r="O57" s="55">
        <v>1</v>
      </c>
      <c r="P57" s="50" t="s">
        <v>79</v>
      </c>
      <c r="Q57" s="143">
        <f>643</f>
        <v>643</v>
      </c>
      <c r="R57" s="143">
        <v>3314</v>
      </c>
      <c r="S57" s="155">
        <f>1230.5-10</f>
        <v>1220.5</v>
      </c>
      <c r="T57" s="143">
        <f>S57+R57+Q57</f>
        <v>5177.5</v>
      </c>
      <c r="U57" s="147">
        <f>V57/1000*R57</f>
        <v>11453.183999999999</v>
      </c>
      <c r="V57" s="143">
        <v>3456</v>
      </c>
      <c r="W57" s="143">
        <f>1288+5</f>
        <v>1293</v>
      </c>
      <c r="X57" s="100"/>
      <c r="Y57" s="13">
        <f t="shared" ref="Y57:Y65" si="13">I57-W57</f>
        <v>8</v>
      </c>
      <c r="Z57" s="13">
        <f t="shared" ref="Z57:Z65" si="14">F57-T57</f>
        <v>11</v>
      </c>
    </row>
    <row r="58" spans="1:26" ht="24.95" customHeight="1" x14ac:dyDescent="0.2">
      <c r="A58" s="56">
        <v>2</v>
      </c>
      <c r="B58" s="375" t="s">
        <v>61</v>
      </c>
      <c r="C58" s="266">
        <f>496+81+1-20</f>
        <v>558</v>
      </c>
      <c r="D58" s="143">
        <f>2927.6-12+20</f>
        <v>2935.6</v>
      </c>
      <c r="E58" s="145">
        <f>521.6-81+12-12</f>
        <v>440.6</v>
      </c>
      <c r="F58" s="143">
        <f>E58+D58+C58</f>
        <v>3934.2</v>
      </c>
      <c r="G58" s="147">
        <f>H58/1000*D58</f>
        <v>10145.4336</v>
      </c>
      <c r="H58" s="143">
        <v>3456</v>
      </c>
      <c r="I58" s="143">
        <f>1618-4</f>
        <v>1614</v>
      </c>
      <c r="J58" s="100">
        <f t="shared" si="10"/>
        <v>-11</v>
      </c>
      <c r="K58" s="13">
        <f t="shared" si="11"/>
        <v>8</v>
      </c>
      <c r="L58" s="332">
        <f>C58-Q58</f>
        <v>-19</v>
      </c>
      <c r="M58" s="332">
        <f t="shared" si="12"/>
        <v>0</v>
      </c>
      <c r="N58" s="332">
        <f t="shared" ref="N58:N65" si="15">I58-W58</f>
        <v>-4</v>
      </c>
      <c r="O58" s="56">
        <v>2</v>
      </c>
      <c r="P58" s="51" t="s">
        <v>61</v>
      </c>
      <c r="Q58" s="266">
        <f>496+81</f>
        <v>577</v>
      </c>
      <c r="R58" s="143">
        <v>2927.6</v>
      </c>
      <c r="S58" s="145">
        <f>521.6-81</f>
        <v>440.6</v>
      </c>
      <c r="T58" s="143">
        <f>S58+R58+Q58</f>
        <v>3945.2</v>
      </c>
      <c r="U58" s="147">
        <f>V58/1000*R58</f>
        <v>10117.785599999999</v>
      </c>
      <c r="V58" s="143">
        <v>3456</v>
      </c>
      <c r="W58" s="143">
        <v>1618</v>
      </c>
      <c r="X58" s="100"/>
      <c r="Y58" s="13">
        <f t="shared" si="13"/>
        <v>-4</v>
      </c>
      <c r="Z58" s="13">
        <f t="shared" si="14"/>
        <v>-11</v>
      </c>
    </row>
    <row r="59" spans="1:26" ht="24.95" customHeight="1" x14ac:dyDescent="0.2">
      <c r="A59" s="57">
        <v>3</v>
      </c>
      <c r="B59" s="376" t="s">
        <v>75</v>
      </c>
      <c r="C59" s="143">
        <f>936+57+100-50</f>
        <v>1043</v>
      </c>
      <c r="D59" s="143">
        <f>1429+50</f>
        <v>1479</v>
      </c>
      <c r="E59" s="145">
        <f>426-57-100</f>
        <v>269</v>
      </c>
      <c r="F59" s="143">
        <f>E59+D59+C59</f>
        <v>2791</v>
      </c>
      <c r="G59" s="147">
        <f>H59/1000*D59</f>
        <v>5111.424</v>
      </c>
      <c r="H59" s="143">
        <v>3456</v>
      </c>
      <c r="I59" s="143">
        <f>721</f>
        <v>721</v>
      </c>
      <c r="J59" s="100">
        <f t="shared" si="10"/>
        <v>0</v>
      </c>
      <c r="K59" s="13">
        <f t="shared" si="11"/>
        <v>50</v>
      </c>
      <c r="L59" s="332">
        <f t="shared" ref="L59:L65" si="16">C59-Q59</f>
        <v>107</v>
      </c>
      <c r="M59" s="332">
        <f t="shared" si="12"/>
        <v>-157</v>
      </c>
      <c r="N59" s="332">
        <f t="shared" si="15"/>
        <v>0</v>
      </c>
      <c r="O59" s="57">
        <v>3</v>
      </c>
      <c r="P59" s="52" t="s">
        <v>75</v>
      </c>
      <c r="Q59" s="143">
        <f>931+5</f>
        <v>936</v>
      </c>
      <c r="R59" s="143">
        <v>1429</v>
      </c>
      <c r="S59" s="145">
        <v>426</v>
      </c>
      <c r="T59" s="143">
        <f>S59+R59+Q59</f>
        <v>2791</v>
      </c>
      <c r="U59" s="147">
        <f>V59/1000*R59</f>
        <v>4938.6239999999998</v>
      </c>
      <c r="V59" s="143">
        <v>3456</v>
      </c>
      <c r="W59" s="143">
        <f>718+3</f>
        <v>721</v>
      </c>
      <c r="X59" s="100"/>
      <c r="Y59" s="13">
        <f t="shared" si="13"/>
        <v>0</v>
      </c>
      <c r="Z59" s="13">
        <f t="shared" si="14"/>
        <v>0</v>
      </c>
    </row>
    <row r="60" spans="1:26" ht="24.95" customHeight="1" x14ac:dyDescent="0.2">
      <c r="A60" s="57">
        <v>4</v>
      </c>
      <c r="B60" s="376" t="s">
        <v>68</v>
      </c>
      <c r="C60" s="143">
        <f>1438.5+1+1+1+45-40</f>
        <v>1446.5</v>
      </c>
      <c r="D60" s="143">
        <f>2671+40</f>
        <v>2711</v>
      </c>
      <c r="E60" s="143">
        <f>145.5-45</f>
        <v>100.5</v>
      </c>
      <c r="F60" s="143">
        <f>E60+D60+C60</f>
        <v>4258</v>
      </c>
      <c r="G60" s="143">
        <f>H60/1000*D60</f>
        <v>9369.2160000000003</v>
      </c>
      <c r="H60" s="143">
        <v>3456</v>
      </c>
      <c r="I60" s="143">
        <f>1357+8</f>
        <v>1365</v>
      </c>
      <c r="J60" s="101">
        <f t="shared" si="10"/>
        <v>1</v>
      </c>
      <c r="K60" s="13">
        <f t="shared" si="11"/>
        <v>40</v>
      </c>
      <c r="L60" s="332">
        <f t="shared" si="16"/>
        <v>6</v>
      </c>
      <c r="M60" s="332">
        <f t="shared" si="12"/>
        <v>-45</v>
      </c>
      <c r="N60" s="332">
        <f t="shared" si="15"/>
        <v>0</v>
      </c>
      <c r="O60" s="57">
        <v>4</v>
      </c>
      <c r="P60" s="52" t="s">
        <v>68</v>
      </c>
      <c r="Q60" s="143">
        <f>1438.5+1+1</f>
        <v>1440.5</v>
      </c>
      <c r="R60" s="143">
        <v>2671</v>
      </c>
      <c r="S60" s="143">
        <v>145.5</v>
      </c>
      <c r="T60" s="143">
        <f>S60+R60+Q60</f>
        <v>4257</v>
      </c>
      <c r="U60" s="143">
        <f>V60/1000*R60</f>
        <v>9230.9760000000006</v>
      </c>
      <c r="V60" s="143">
        <v>3456</v>
      </c>
      <c r="W60" s="143">
        <f>1357+8</f>
        <v>1365</v>
      </c>
      <c r="X60" s="101"/>
      <c r="Y60" s="13">
        <f t="shared" si="13"/>
        <v>0</v>
      </c>
      <c r="Z60" s="13">
        <f t="shared" si="14"/>
        <v>1</v>
      </c>
    </row>
    <row r="61" spans="1:26" ht="24.95" customHeight="1" x14ac:dyDescent="0.2">
      <c r="A61" s="57">
        <v>5</v>
      </c>
      <c r="B61" s="376" t="s">
        <v>66</v>
      </c>
      <c r="C61" s="143">
        <f>734.5+10+90-80</f>
        <v>754.5</v>
      </c>
      <c r="D61" s="143">
        <f>8801+80</f>
        <v>8881</v>
      </c>
      <c r="E61" s="155">
        <f>784.5-90</f>
        <v>694.5</v>
      </c>
      <c r="F61" s="143">
        <f>E61+D61+C61</f>
        <v>10330</v>
      </c>
      <c r="G61" s="147">
        <f>H61/1000*D61</f>
        <v>30692.736000000001</v>
      </c>
      <c r="H61" s="143">
        <v>3456</v>
      </c>
      <c r="I61" s="143">
        <f>3277+5</f>
        <v>3282</v>
      </c>
      <c r="J61" s="100">
        <f t="shared" si="10"/>
        <v>0</v>
      </c>
      <c r="K61" s="13">
        <f t="shared" si="11"/>
        <v>80</v>
      </c>
      <c r="L61" s="332">
        <f t="shared" si="16"/>
        <v>10</v>
      </c>
      <c r="M61" s="332">
        <f t="shared" si="12"/>
        <v>-90</v>
      </c>
      <c r="N61" s="332">
        <f t="shared" si="15"/>
        <v>0</v>
      </c>
      <c r="O61" s="57">
        <v>5</v>
      </c>
      <c r="P61" s="52" t="s">
        <v>66</v>
      </c>
      <c r="Q61" s="143">
        <f>734.5+10</f>
        <v>744.5</v>
      </c>
      <c r="R61" s="143">
        <v>8801</v>
      </c>
      <c r="S61" s="155">
        <v>784.5</v>
      </c>
      <c r="T61" s="143">
        <f>S61+R61+Q61</f>
        <v>10330</v>
      </c>
      <c r="U61" s="147">
        <f>V61/1000*R61</f>
        <v>30416.256000000001</v>
      </c>
      <c r="V61" s="143">
        <v>3456</v>
      </c>
      <c r="W61" s="143">
        <f>3277+5</f>
        <v>3282</v>
      </c>
      <c r="X61" s="100"/>
      <c r="Y61" s="13">
        <f t="shared" si="13"/>
        <v>0</v>
      </c>
      <c r="Z61" s="13">
        <f t="shared" si="14"/>
        <v>0</v>
      </c>
    </row>
    <row r="62" spans="1:26" ht="24.95" customHeight="1" x14ac:dyDescent="0.2">
      <c r="A62" s="57">
        <v>6</v>
      </c>
      <c r="B62" s="377" t="s">
        <v>67</v>
      </c>
      <c r="C62" s="143">
        <f>822+5-6-4+4-6</f>
        <v>815</v>
      </c>
      <c r="D62" s="143">
        <f>2283+6+6</f>
        <v>2295</v>
      </c>
      <c r="E62" s="145">
        <f>54+4</f>
        <v>58</v>
      </c>
      <c r="F62" s="143">
        <f t="shared" ref="F62:F65" si="17">E62+D62+C62</f>
        <v>3168</v>
      </c>
      <c r="G62" s="147">
        <f t="shared" ref="G62:G68" si="18">H62/1000*D62</f>
        <v>7931.5199999999995</v>
      </c>
      <c r="H62" s="143">
        <v>3456</v>
      </c>
      <c r="I62" s="143">
        <f>800+5+2</f>
        <v>807</v>
      </c>
      <c r="J62" s="100">
        <f t="shared" si="10"/>
        <v>9</v>
      </c>
      <c r="K62" s="13">
        <f t="shared" si="11"/>
        <v>12</v>
      </c>
      <c r="L62" s="332">
        <f>C62-Q62</f>
        <v>-7</v>
      </c>
      <c r="M62" s="332">
        <f t="shared" si="12"/>
        <v>4</v>
      </c>
      <c r="N62" s="332">
        <f t="shared" si="15"/>
        <v>7</v>
      </c>
      <c r="O62" s="57">
        <v>6</v>
      </c>
      <c r="P62" s="53" t="s">
        <v>67</v>
      </c>
      <c r="Q62" s="143">
        <f>763+57+2</f>
        <v>822</v>
      </c>
      <c r="R62" s="143">
        <v>2283</v>
      </c>
      <c r="S62" s="145">
        <f>111-57</f>
        <v>54</v>
      </c>
      <c r="T62" s="143">
        <f t="shared" ref="T62:T65" si="19">S62+R62+Q62</f>
        <v>3159</v>
      </c>
      <c r="U62" s="147">
        <f t="shared" ref="U62:U65" si="20">V62/1000*R62</f>
        <v>7890.0479999999998</v>
      </c>
      <c r="V62" s="143">
        <v>3456</v>
      </c>
      <c r="W62" s="143">
        <v>800</v>
      </c>
      <c r="X62" s="100"/>
      <c r="Y62" s="13">
        <f t="shared" si="13"/>
        <v>7</v>
      </c>
      <c r="Z62" s="13">
        <f t="shared" si="14"/>
        <v>9</v>
      </c>
    </row>
    <row r="63" spans="1:26" ht="24.95" customHeight="1" x14ac:dyDescent="0.2">
      <c r="A63" s="57">
        <v>7</v>
      </c>
      <c r="B63" s="376" t="s">
        <v>69</v>
      </c>
      <c r="C63" s="143">
        <f>534-7+6</f>
        <v>533</v>
      </c>
      <c r="D63" s="143">
        <v>713.5</v>
      </c>
      <c r="E63" s="145">
        <f>17.5-8+7-6</f>
        <v>10.5</v>
      </c>
      <c r="F63" s="143">
        <f t="shared" si="17"/>
        <v>1257</v>
      </c>
      <c r="G63" s="147">
        <f t="shared" si="18"/>
        <v>2465.8559999999998</v>
      </c>
      <c r="H63" s="143">
        <v>3456</v>
      </c>
      <c r="I63" s="127">
        <v>804</v>
      </c>
      <c r="J63" s="100">
        <f t="shared" si="10"/>
        <v>0</v>
      </c>
      <c r="K63" s="13">
        <f t="shared" si="11"/>
        <v>0</v>
      </c>
      <c r="L63" s="332">
        <f t="shared" si="16"/>
        <v>-1</v>
      </c>
      <c r="M63" s="332">
        <f t="shared" si="12"/>
        <v>1</v>
      </c>
      <c r="N63" s="332">
        <f t="shared" si="15"/>
        <v>0</v>
      </c>
      <c r="O63" s="57">
        <v>7</v>
      </c>
      <c r="P63" s="52" t="s">
        <v>69</v>
      </c>
      <c r="Q63" s="143">
        <f>526+8</f>
        <v>534</v>
      </c>
      <c r="R63" s="143">
        <v>713.5</v>
      </c>
      <c r="S63" s="145">
        <f>17.5-8</f>
        <v>9.5</v>
      </c>
      <c r="T63" s="143">
        <f t="shared" si="19"/>
        <v>1257</v>
      </c>
      <c r="U63" s="147">
        <f t="shared" si="20"/>
        <v>2465.8559999999998</v>
      </c>
      <c r="V63" s="143">
        <v>3456</v>
      </c>
      <c r="W63" s="127">
        <v>804</v>
      </c>
      <c r="X63" s="100"/>
      <c r="Y63" s="13">
        <f t="shared" si="13"/>
        <v>0</v>
      </c>
      <c r="Z63" s="13">
        <f t="shared" si="14"/>
        <v>0</v>
      </c>
    </row>
    <row r="64" spans="1:26" ht="24.95" customHeight="1" x14ac:dyDescent="0.2">
      <c r="A64" s="57">
        <v>8</v>
      </c>
      <c r="B64" s="372" t="s">
        <v>70</v>
      </c>
      <c r="C64" s="143">
        <f>582+104</f>
        <v>686</v>
      </c>
      <c r="D64" s="143">
        <v>620</v>
      </c>
      <c r="E64" s="145">
        <f>258-104</f>
        <v>154</v>
      </c>
      <c r="F64" s="143">
        <f t="shared" si="17"/>
        <v>1460</v>
      </c>
      <c r="G64" s="147">
        <f t="shared" si="18"/>
        <v>2142.7199999999998</v>
      </c>
      <c r="H64" s="143">
        <v>3456</v>
      </c>
      <c r="I64" s="143">
        <f>994+4</f>
        <v>998</v>
      </c>
      <c r="J64" s="100"/>
      <c r="K64" s="13">
        <f t="shared" si="11"/>
        <v>0</v>
      </c>
      <c r="L64" s="332">
        <f>C64-Q64</f>
        <v>0</v>
      </c>
      <c r="M64" s="332">
        <f t="shared" si="12"/>
        <v>0</v>
      </c>
      <c r="N64" s="332">
        <f t="shared" si="15"/>
        <v>0</v>
      </c>
      <c r="O64" s="57">
        <v>8</v>
      </c>
      <c r="P64" s="52" t="s">
        <v>70</v>
      </c>
      <c r="Q64" s="143">
        <f>582+104</f>
        <v>686</v>
      </c>
      <c r="R64" s="143">
        <v>620</v>
      </c>
      <c r="S64" s="145">
        <f>258-104</f>
        <v>154</v>
      </c>
      <c r="T64" s="143">
        <f>S64+R64+Q64</f>
        <v>1460</v>
      </c>
      <c r="U64" s="147">
        <f t="shared" si="20"/>
        <v>2142.7199999999998</v>
      </c>
      <c r="V64" s="143">
        <v>3456</v>
      </c>
      <c r="W64" s="143">
        <f>994+4</f>
        <v>998</v>
      </c>
      <c r="X64" s="100"/>
      <c r="Y64" s="13">
        <f t="shared" si="13"/>
        <v>0</v>
      </c>
      <c r="Z64" s="13">
        <f t="shared" si="14"/>
        <v>0</v>
      </c>
    </row>
    <row r="65" spans="1:26" ht="24.95" customHeight="1" x14ac:dyDescent="0.2">
      <c r="A65" s="57">
        <v>9</v>
      </c>
      <c r="B65" s="376" t="s">
        <v>71</v>
      </c>
      <c r="C65" s="143">
        <f>31-20</f>
        <v>11</v>
      </c>
      <c r="D65" s="143">
        <f>12</f>
        <v>12</v>
      </c>
      <c r="E65" s="145">
        <f>33+20</f>
        <v>53</v>
      </c>
      <c r="F65" s="143">
        <f t="shared" si="17"/>
        <v>76</v>
      </c>
      <c r="G65" s="143">
        <f t="shared" si="18"/>
        <v>41.472000000000001</v>
      </c>
      <c r="H65" s="143">
        <v>3456</v>
      </c>
      <c r="I65" s="127">
        <v>76</v>
      </c>
      <c r="J65" s="101"/>
      <c r="L65" s="332">
        <f t="shared" si="16"/>
        <v>-20</v>
      </c>
      <c r="M65" s="332">
        <f t="shared" si="12"/>
        <v>20</v>
      </c>
      <c r="N65" s="332">
        <f t="shared" si="15"/>
        <v>0</v>
      </c>
      <c r="O65" s="57">
        <v>9</v>
      </c>
      <c r="P65" s="52" t="s">
        <v>71</v>
      </c>
      <c r="Q65" s="143">
        <v>31</v>
      </c>
      <c r="R65" s="143">
        <v>12</v>
      </c>
      <c r="S65" s="145">
        <v>33</v>
      </c>
      <c r="T65" s="143">
        <f t="shared" si="19"/>
        <v>76</v>
      </c>
      <c r="U65" s="143">
        <f t="shared" si="20"/>
        <v>41.472000000000001</v>
      </c>
      <c r="V65" s="143">
        <v>3456</v>
      </c>
      <c r="W65" s="127">
        <v>76</v>
      </c>
      <c r="X65" s="101"/>
      <c r="Y65" s="13">
        <f t="shared" si="13"/>
        <v>0</v>
      </c>
      <c r="Z65" s="13">
        <f t="shared" si="14"/>
        <v>0</v>
      </c>
    </row>
    <row r="66" spans="1:26" ht="24.95" customHeight="1" x14ac:dyDescent="0.2">
      <c r="A66" s="57">
        <v>10</v>
      </c>
      <c r="B66" s="52" t="s">
        <v>72</v>
      </c>
      <c r="C66" s="127" t="s">
        <v>12</v>
      </c>
      <c r="D66" s="127" t="s">
        <v>12</v>
      </c>
      <c r="E66" s="155" t="s">
        <v>12</v>
      </c>
      <c r="F66" s="127" t="s">
        <v>12</v>
      </c>
      <c r="G66" s="146" t="s">
        <v>12</v>
      </c>
      <c r="H66" s="127" t="s">
        <v>12</v>
      </c>
      <c r="I66" s="127" t="s">
        <v>12</v>
      </c>
      <c r="J66" s="100"/>
      <c r="L66" s="332"/>
      <c r="M66" s="332"/>
      <c r="N66" s="332"/>
      <c r="O66" s="57">
        <v>10</v>
      </c>
      <c r="P66" s="52" t="s">
        <v>72</v>
      </c>
      <c r="Q66" s="127" t="s">
        <v>12</v>
      </c>
      <c r="R66" s="127" t="s">
        <v>12</v>
      </c>
      <c r="S66" s="155" t="s">
        <v>12</v>
      </c>
      <c r="T66" s="127" t="s">
        <v>12</v>
      </c>
      <c r="U66" s="146" t="s">
        <v>12</v>
      </c>
      <c r="V66" s="127" t="s">
        <v>12</v>
      </c>
      <c r="W66" s="127" t="s">
        <v>12</v>
      </c>
      <c r="X66" s="100"/>
    </row>
    <row r="67" spans="1:26" ht="24.95" customHeight="1" thickBot="1" x14ac:dyDescent="0.25">
      <c r="A67" s="57">
        <v>11</v>
      </c>
      <c r="B67" s="54" t="s">
        <v>73</v>
      </c>
      <c r="C67" s="127" t="s">
        <v>12</v>
      </c>
      <c r="D67" s="127" t="s">
        <v>12</v>
      </c>
      <c r="E67" s="155" t="s">
        <v>12</v>
      </c>
      <c r="F67" s="127" t="s">
        <v>12</v>
      </c>
      <c r="G67" s="146" t="s">
        <v>12</v>
      </c>
      <c r="H67" s="127" t="s">
        <v>12</v>
      </c>
      <c r="I67" s="127" t="s">
        <v>12</v>
      </c>
      <c r="J67" s="100"/>
      <c r="L67" s="332"/>
      <c r="M67" s="332"/>
      <c r="N67" s="332"/>
      <c r="O67" s="57">
        <v>11</v>
      </c>
      <c r="P67" s="54" t="s">
        <v>73</v>
      </c>
      <c r="Q67" s="127" t="s">
        <v>12</v>
      </c>
      <c r="R67" s="127" t="s">
        <v>12</v>
      </c>
      <c r="S67" s="155" t="s">
        <v>12</v>
      </c>
      <c r="T67" s="127" t="s">
        <v>12</v>
      </c>
      <c r="U67" s="146" t="s">
        <v>12</v>
      </c>
      <c r="V67" s="127" t="s">
        <v>12</v>
      </c>
      <c r="W67" s="127" t="s">
        <v>12</v>
      </c>
      <c r="X67" s="100"/>
    </row>
    <row r="68" spans="1:26" ht="24.95" customHeight="1" thickTop="1" thickBot="1" x14ac:dyDescent="0.25">
      <c r="A68" s="454" t="s">
        <v>13</v>
      </c>
      <c r="B68" s="455"/>
      <c r="C68" s="164">
        <f>SUM(C57:C67)</f>
        <v>6537</v>
      </c>
      <c r="D68" s="165">
        <f>SUM(D57:D67)</f>
        <v>22961.1</v>
      </c>
      <c r="E68" s="165">
        <f>SUM(E57:E67)</f>
        <v>2964.6</v>
      </c>
      <c r="F68" s="165">
        <f>SUM(F57:F67)</f>
        <v>32462.7</v>
      </c>
      <c r="G68" s="167">
        <f t="shared" si="18"/>
        <v>79353.561600000001</v>
      </c>
      <c r="H68" s="165">
        <v>3456</v>
      </c>
      <c r="I68" s="166">
        <f>SUM(I57:I67)</f>
        <v>10968</v>
      </c>
      <c r="J68" s="66">
        <f>J57+J58+J60+J62</f>
        <v>10</v>
      </c>
      <c r="K68" s="13">
        <f>SUM(K57:K65)</f>
        <v>190</v>
      </c>
      <c r="L68" s="332">
        <f>SUM(L57:L65)</f>
        <v>123</v>
      </c>
      <c r="M68" s="332">
        <f>SUM(M57:M65)</f>
        <v>-303</v>
      </c>
      <c r="N68" s="332">
        <f>SUM(N57:N65)</f>
        <v>11</v>
      </c>
      <c r="O68" s="454" t="s">
        <v>13</v>
      </c>
      <c r="P68" s="455"/>
      <c r="Q68" s="164">
        <f>SUM(Q57:Q67)</f>
        <v>6414</v>
      </c>
      <c r="R68" s="165">
        <f>SUM(R57:R67)</f>
        <v>22771.1</v>
      </c>
      <c r="S68" s="165">
        <f>SUM(S57:S67)</f>
        <v>3267.6</v>
      </c>
      <c r="T68" s="165">
        <f>SUM(T57:T67)</f>
        <v>32452.7</v>
      </c>
      <c r="U68" s="167">
        <f t="shared" ref="U68" si="21">V68/1000*R68</f>
        <v>78696.921599999987</v>
      </c>
      <c r="V68" s="165">
        <v>3456</v>
      </c>
      <c r="W68" s="166">
        <f>SUM(W57:W67)</f>
        <v>10957</v>
      </c>
      <c r="X68" s="66"/>
      <c r="Z68" s="13">
        <f>SUM(Z57:Z65)</f>
        <v>10</v>
      </c>
    </row>
    <row r="69" spans="1:26" ht="24.95" customHeight="1" thickTop="1" x14ac:dyDescent="0.2">
      <c r="C69" s="333">
        <f t="shared" ref="C69:J69" si="22">C68-Q68</f>
        <v>123</v>
      </c>
      <c r="D69" s="333">
        <f t="shared" si="22"/>
        <v>190</v>
      </c>
      <c r="E69" s="333">
        <f t="shared" si="22"/>
        <v>-303</v>
      </c>
      <c r="F69" s="333">
        <f t="shared" si="22"/>
        <v>10</v>
      </c>
      <c r="G69" s="333">
        <f t="shared" si="22"/>
        <v>656.64000000001397</v>
      </c>
      <c r="H69" s="333">
        <f t="shared" si="22"/>
        <v>0</v>
      </c>
      <c r="I69" s="333">
        <f t="shared" si="22"/>
        <v>11</v>
      </c>
      <c r="J69" s="333">
        <f t="shared" si="22"/>
        <v>10</v>
      </c>
      <c r="U69" s="25"/>
      <c r="W69" s="13"/>
    </row>
    <row r="70" spans="1:26" ht="24.95" customHeight="1" x14ac:dyDescent="0.2">
      <c r="C70" s="13"/>
      <c r="D70" s="13"/>
      <c r="E70" s="13"/>
      <c r="F70" s="13"/>
      <c r="G70" s="13"/>
      <c r="H70" s="13"/>
      <c r="I70" s="13"/>
      <c r="J70" s="13"/>
      <c r="U70" s="25"/>
      <c r="W70" s="13"/>
    </row>
    <row r="71" spans="1:26" ht="24.95" customHeight="1" x14ac:dyDescent="0.2">
      <c r="B71" s="208" t="s">
        <v>4</v>
      </c>
      <c r="C71" s="209" t="s">
        <v>63</v>
      </c>
      <c r="E71" s="37"/>
      <c r="F71" s="13"/>
      <c r="G71" s="45"/>
      <c r="L71" s="13">
        <f>1+20-12+12-12</f>
        <v>9</v>
      </c>
      <c r="M71" s="13"/>
      <c r="N71" s="13"/>
      <c r="Q71" s="36"/>
      <c r="R71" s="36"/>
      <c r="S71" s="37"/>
      <c r="T71" s="13"/>
      <c r="U71" s="45" t="s">
        <v>112</v>
      </c>
    </row>
    <row r="72" spans="1:26" ht="24.95" customHeight="1" x14ac:dyDescent="0.2">
      <c r="B72" s="208" t="s">
        <v>5</v>
      </c>
      <c r="C72" s="209" t="s">
        <v>64</v>
      </c>
      <c r="F72" s="13">
        <f>C68+D68+E68</f>
        <v>32462.699999999997</v>
      </c>
      <c r="G72" s="409"/>
      <c r="H72" s="410"/>
      <c r="I72" s="410"/>
      <c r="J72" s="410"/>
      <c r="U72" s="47" t="s">
        <v>38</v>
      </c>
      <c r="V72" s="46"/>
      <c r="W72" s="46"/>
      <c r="X72" s="46"/>
    </row>
    <row r="73" spans="1:26" ht="24.95" customHeight="1" x14ac:dyDescent="0.2">
      <c r="B73" s="208" t="s">
        <v>6</v>
      </c>
      <c r="C73" s="209" t="s">
        <v>65</v>
      </c>
      <c r="G73" s="45"/>
      <c r="U73" s="45" t="s">
        <v>113</v>
      </c>
    </row>
    <row r="74" spans="1:26" ht="24.95" customHeight="1" x14ac:dyDescent="0.2">
      <c r="B74" s="211"/>
      <c r="C74" s="211"/>
      <c r="F74" s="13"/>
      <c r="G74" s="409"/>
      <c r="H74" s="409"/>
      <c r="I74" s="409"/>
      <c r="J74" s="409"/>
      <c r="U74" s="409"/>
      <c r="V74" s="409"/>
      <c r="W74" s="409"/>
      <c r="X74" s="409"/>
    </row>
    <row r="75" spans="1:26" ht="24.95" customHeight="1" x14ac:dyDescent="0.2">
      <c r="G75" s="349"/>
      <c r="H75" s="349"/>
      <c r="I75" s="349"/>
      <c r="J75" s="349"/>
      <c r="U75" s="349"/>
      <c r="V75" s="349"/>
      <c r="W75" s="349"/>
      <c r="X75" s="349"/>
    </row>
    <row r="76" spans="1:26" ht="24.95" customHeight="1" x14ac:dyDescent="0.2">
      <c r="G76" s="410"/>
      <c r="H76" s="410"/>
      <c r="I76" s="410"/>
      <c r="J76" s="410"/>
      <c r="U76" s="410"/>
      <c r="V76" s="410"/>
      <c r="W76" s="410"/>
      <c r="X76" s="410"/>
    </row>
    <row r="77" spans="1:26" ht="24.95" customHeight="1" x14ac:dyDescent="0.2">
      <c r="G77" s="410"/>
      <c r="H77" s="410"/>
      <c r="I77" s="410"/>
      <c r="J77" s="410"/>
      <c r="U77" s="410"/>
      <c r="V77" s="410"/>
      <c r="W77" s="410"/>
      <c r="X77" s="410"/>
    </row>
    <row r="78" spans="1:26" ht="24.95" customHeight="1" x14ac:dyDescent="0.2"/>
    <row r="79" spans="1:26" ht="24.95" customHeight="1" x14ac:dyDescent="0.2"/>
    <row r="80" spans="1:26" ht="24.95" customHeight="1" x14ac:dyDescent="0.25">
      <c r="G80" s="407"/>
      <c r="H80" s="407"/>
      <c r="I80" s="407"/>
      <c r="J80" s="407"/>
      <c r="U80" s="407"/>
      <c r="V80" s="407"/>
      <c r="W80" s="407"/>
      <c r="X80" s="407"/>
    </row>
    <row r="81" spans="1:24" ht="24.95" customHeight="1" x14ac:dyDescent="0.2">
      <c r="G81" s="410"/>
      <c r="H81" s="410"/>
      <c r="I81" s="410"/>
      <c r="J81" s="410"/>
      <c r="U81" s="410"/>
      <c r="V81" s="410"/>
      <c r="W81" s="410"/>
      <c r="X81" s="410"/>
    </row>
    <row r="82" spans="1:24" ht="24.95" customHeight="1" x14ac:dyDescent="0.2">
      <c r="G82" s="410"/>
      <c r="H82" s="410"/>
      <c r="I82" s="410"/>
      <c r="J82" s="410"/>
      <c r="U82" s="410"/>
      <c r="V82" s="410"/>
      <c r="W82" s="410"/>
      <c r="X82" s="410"/>
    </row>
    <row r="83" spans="1:24" ht="24.95" customHeight="1" x14ac:dyDescent="0.2">
      <c r="G83" s="349"/>
      <c r="H83" s="349"/>
      <c r="I83" s="349"/>
      <c r="J83" s="349"/>
      <c r="U83" s="349"/>
      <c r="V83" s="349"/>
      <c r="W83" s="349"/>
      <c r="X83" s="349"/>
    </row>
    <row r="84" spans="1:24" ht="24.95" customHeight="1" x14ac:dyDescent="0.2">
      <c r="G84" s="349"/>
      <c r="H84" s="349"/>
      <c r="I84" s="349"/>
      <c r="J84" s="349"/>
      <c r="U84" s="349"/>
      <c r="V84" s="349"/>
      <c r="W84" s="349"/>
      <c r="X84" s="349"/>
    </row>
    <row r="85" spans="1:24" ht="24.95" customHeight="1" x14ac:dyDescent="0.2">
      <c r="G85" s="349"/>
      <c r="H85" s="349"/>
      <c r="I85" s="349"/>
      <c r="J85" s="349"/>
      <c r="U85" s="349"/>
      <c r="V85" s="349"/>
      <c r="W85" s="349"/>
      <c r="X85" s="349"/>
    </row>
    <row r="86" spans="1:24" ht="24.95" customHeight="1" x14ac:dyDescent="0.2">
      <c r="G86" s="349"/>
      <c r="H86" s="349"/>
      <c r="I86" s="349"/>
      <c r="J86" s="349"/>
      <c r="U86" s="349"/>
      <c r="V86" s="349"/>
      <c r="W86" s="349"/>
      <c r="X86" s="349"/>
    </row>
    <row r="87" spans="1:24" ht="24.95" customHeight="1" x14ac:dyDescent="0.3">
      <c r="A87" s="422" t="s">
        <v>51</v>
      </c>
      <c r="B87" s="422"/>
      <c r="C87" s="422"/>
      <c r="D87" s="422"/>
      <c r="E87" s="422"/>
      <c r="F87" s="422"/>
      <c r="G87" s="422"/>
      <c r="H87" s="422"/>
      <c r="I87" s="422"/>
      <c r="J87" s="422"/>
      <c r="O87" s="452" t="s">
        <v>51</v>
      </c>
      <c r="P87" s="452"/>
      <c r="Q87" s="452"/>
      <c r="R87" s="452"/>
      <c r="S87" s="452"/>
      <c r="T87" s="452"/>
      <c r="U87" s="452"/>
      <c r="V87" s="452"/>
      <c r="W87" s="452"/>
      <c r="X87" s="452"/>
    </row>
    <row r="88" spans="1:24" ht="24.95" customHeight="1" x14ac:dyDescent="0.3">
      <c r="A88" s="422" t="s">
        <v>53</v>
      </c>
      <c r="B88" s="422"/>
      <c r="C88" s="422"/>
      <c r="D88" s="422"/>
      <c r="E88" s="422"/>
      <c r="F88" s="422"/>
      <c r="G88" s="422"/>
      <c r="H88" s="422"/>
      <c r="I88" s="422"/>
      <c r="J88" s="422"/>
      <c r="O88" s="452" t="s">
        <v>53</v>
      </c>
      <c r="P88" s="452"/>
      <c r="Q88" s="452"/>
      <c r="R88" s="452"/>
      <c r="S88" s="452"/>
      <c r="T88" s="452"/>
      <c r="U88" s="452"/>
      <c r="V88" s="452"/>
      <c r="W88" s="452"/>
      <c r="X88" s="452"/>
    </row>
    <row r="89" spans="1:24" ht="24.95" customHeight="1" x14ac:dyDescent="0.3">
      <c r="A89" s="422" t="s">
        <v>114</v>
      </c>
      <c r="B89" s="422"/>
      <c r="C89" s="422"/>
      <c r="D89" s="422"/>
      <c r="E89" s="422"/>
      <c r="F89" s="422"/>
      <c r="G89" s="422"/>
      <c r="H89" s="422"/>
      <c r="I89" s="422"/>
      <c r="J89" s="422"/>
      <c r="O89" s="452" t="s">
        <v>52</v>
      </c>
      <c r="P89" s="452"/>
      <c r="Q89" s="452"/>
      <c r="R89" s="452"/>
      <c r="S89" s="452"/>
      <c r="T89" s="452"/>
      <c r="U89" s="452"/>
      <c r="V89" s="452"/>
      <c r="W89" s="452"/>
      <c r="X89" s="452"/>
    </row>
    <row r="90" spans="1:24" ht="24.95" customHeight="1" x14ac:dyDescent="0.3">
      <c r="A90" s="350"/>
      <c r="B90" s="350"/>
      <c r="C90" s="350"/>
      <c r="D90" s="350"/>
      <c r="E90" s="350"/>
      <c r="F90" s="350"/>
      <c r="G90" s="350"/>
      <c r="H90" s="350"/>
      <c r="I90" s="350"/>
      <c r="J90" s="350"/>
      <c r="O90" s="355"/>
      <c r="P90" s="355"/>
      <c r="Q90" s="355"/>
      <c r="R90" s="355"/>
      <c r="S90" s="355"/>
      <c r="T90" s="355"/>
      <c r="U90" s="355"/>
      <c r="V90" s="355"/>
      <c r="W90" s="355"/>
      <c r="X90" s="355"/>
    </row>
    <row r="91" spans="1:24" ht="24.95" customHeight="1" x14ac:dyDescent="0.2">
      <c r="A91" s="211" t="s">
        <v>0</v>
      </c>
      <c r="B91" s="211"/>
      <c r="C91" s="223" t="s">
        <v>15</v>
      </c>
      <c r="D91" s="211"/>
      <c r="E91" s="211"/>
      <c r="F91" s="211"/>
      <c r="G91" s="211"/>
      <c r="H91" s="211"/>
      <c r="I91" s="211"/>
      <c r="J91" s="211"/>
      <c r="O91" t="s">
        <v>0</v>
      </c>
      <c r="Q91" t="s">
        <v>15</v>
      </c>
    </row>
    <row r="92" spans="1:24" ht="24.95" customHeight="1" thickBot="1" x14ac:dyDescent="0.25">
      <c r="A92" s="45"/>
      <c r="E92" s="45"/>
      <c r="O92" s="45"/>
      <c r="Q92" t="s">
        <v>16</v>
      </c>
      <c r="S92" s="45"/>
    </row>
    <row r="93" spans="1:24" ht="24.95" customHeight="1" thickTop="1" thickBot="1" x14ac:dyDescent="0.25">
      <c r="A93" s="1" t="s">
        <v>2</v>
      </c>
      <c r="B93" s="2" t="s">
        <v>3</v>
      </c>
      <c r="C93" s="2" t="s">
        <v>4</v>
      </c>
      <c r="D93" s="2" t="s">
        <v>5</v>
      </c>
      <c r="E93" s="2" t="s">
        <v>6</v>
      </c>
      <c r="F93" s="3" t="s">
        <v>41</v>
      </c>
      <c r="G93" s="3" t="s">
        <v>8</v>
      </c>
      <c r="H93" s="3" t="s">
        <v>9</v>
      </c>
      <c r="I93" s="3" t="s">
        <v>10</v>
      </c>
      <c r="J93" s="4" t="s">
        <v>11</v>
      </c>
      <c r="L93" s="370" t="s">
        <v>48</v>
      </c>
      <c r="O93" s="1" t="s">
        <v>2</v>
      </c>
      <c r="P93" s="2" t="s">
        <v>3</v>
      </c>
      <c r="Q93" s="2" t="s">
        <v>4</v>
      </c>
      <c r="R93" s="2" t="s">
        <v>5</v>
      </c>
      <c r="S93" s="2" t="s">
        <v>6</v>
      </c>
      <c r="T93" s="3" t="s">
        <v>41</v>
      </c>
      <c r="U93" s="3" t="s">
        <v>8</v>
      </c>
      <c r="V93" s="3" t="s">
        <v>9</v>
      </c>
      <c r="W93" s="3" t="s">
        <v>10</v>
      </c>
      <c r="X93" s="4" t="s">
        <v>11</v>
      </c>
    </row>
    <row r="94" spans="1:24" ht="24.95" customHeight="1" thickTop="1" thickBot="1" x14ac:dyDescent="0.3">
      <c r="A94" s="5">
        <v>1</v>
      </c>
      <c r="B94" s="6">
        <v>2</v>
      </c>
      <c r="C94" s="6">
        <v>3</v>
      </c>
      <c r="D94" s="6">
        <v>4</v>
      </c>
      <c r="E94" s="6">
        <v>5</v>
      </c>
      <c r="F94" s="6">
        <v>6</v>
      </c>
      <c r="G94" s="6">
        <v>7</v>
      </c>
      <c r="H94" s="6">
        <v>8</v>
      </c>
      <c r="I94" s="6">
        <v>9</v>
      </c>
      <c r="J94" s="7">
        <v>10</v>
      </c>
      <c r="K94" t="s">
        <v>157</v>
      </c>
      <c r="L94" t="s">
        <v>158</v>
      </c>
      <c r="M94" t="s">
        <v>159</v>
      </c>
      <c r="N94" s="45" t="s">
        <v>160</v>
      </c>
      <c r="O94" s="5">
        <v>1</v>
      </c>
      <c r="P94" s="6">
        <v>2</v>
      </c>
      <c r="Q94" s="6">
        <v>3</v>
      </c>
      <c r="R94" s="6">
        <v>4</v>
      </c>
      <c r="S94" s="6">
        <v>5</v>
      </c>
      <c r="T94" s="6">
        <v>6</v>
      </c>
      <c r="U94" s="6">
        <v>7</v>
      </c>
      <c r="V94" s="6">
        <v>8</v>
      </c>
      <c r="W94" s="6">
        <v>9</v>
      </c>
      <c r="X94" s="7">
        <v>10</v>
      </c>
    </row>
    <row r="95" spans="1:24" ht="24.95" customHeight="1" thickTop="1" x14ac:dyDescent="0.2">
      <c r="A95" s="63">
        <v>1</v>
      </c>
      <c r="B95" s="50" t="s">
        <v>82</v>
      </c>
      <c r="C95" s="143">
        <v>3</v>
      </c>
      <c r="D95" s="143">
        <v>25</v>
      </c>
      <c r="E95" s="143">
        <v>93</v>
      </c>
      <c r="F95" s="143">
        <f t="shared" ref="F95:F104" si="23">E95+D95+C95</f>
        <v>121</v>
      </c>
      <c r="G95" s="147">
        <f>H95/1000*D95</f>
        <v>21.7</v>
      </c>
      <c r="H95" s="143">
        <v>868</v>
      </c>
      <c r="I95" s="143">
        <v>220</v>
      </c>
      <c r="J95" s="196"/>
      <c r="O95" s="63">
        <v>1</v>
      </c>
      <c r="P95" s="50" t="s">
        <v>82</v>
      </c>
      <c r="Q95" s="143">
        <v>3</v>
      </c>
      <c r="R95" s="143">
        <v>25</v>
      </c>
      <c r="S95" s="143">
        <v>93</v>
      </c>
      <c r="T95" s="143">
        <f t="shared" ref="T95:T100" si="24">S95+R95+Q95</f>
        <v>121</v>
      </c>
      <c r="U95" s="147">
        <f>V95/1000*R95</f>
        <v>21.7</v>
      </c>
      <c r="V95" s="143">
        <v>868</v>
      </c>
      <c r="W95" s="143">
        <v>220</v>
      </c>
      <c r="X95" s="103"/>
    </row>
    <row r="96" spans="1:24" ht="24.95" customHeight="1" x14ac:dyDescent="0.2">
      <c r="A96" s="64">
        <v>2</v>
      </c>
      <c r="B96" s="51" t="s">
        <v>61</v>
      </c>
      <c r="C96" s="143">
        <v>1</v>
      </c>
      <c r="D96" s="143">
        <v>7</v>
      </c>
      <c r="E96" s="145">
        <v>0</v>
      </c>
      <c r="F96" s="143">
        <f t="shared" si="23"/>
        <v>8</v>
      </c>
      <c r="G96" s="147">
        <f>H96/1000*D96</f>
        <v>6.0759999999999996</v>
      </c>
      <c r="H96" s="143">
        <v>868</v>
      </c>
      <c r="I96" s="143">
        <v>66</v>
      </c>
      <c r="J96" s="200"/>
      <c r="O96" s="64">
        <v>2</v>
      </c>
      <c r="P96" s="51" t="s">
        <v>61</v>
      </c>
      <c r="Q96" s="143">
        <v>1</v>
      </c>
      <c r="R96" s="143">
        <v>7</v>
      </c>
      <c r="S96" s="145">
        <v>0</v>
      </c>
      <c r="T96" s="143">
        <f t="shared" si="24"/>
        <v>8</v>
      </c>
      <c r="U96" s="147">
        <f>V96/1000*R96</f>
        <v>6.0759999999999996</v>
      </c>
      <c r="V96" s="143">
        <v>868</v>
      </c>
      <c r="W96" s="143">
        <v>66</v>
      </c>
      <c r="X96" s="81"/>
    </row>
    <row r="97" spans="1:24" ht="24.95" customHeight="1" x14ac:dyDescent="0.2">
      <c r="A97" s="64">
        <v>3</v>
      </c>
      <c r="B97" s="52" t="s">
        <v>75</v>
      </c>
      <c r="C97" s="143">
        <v>8</v>
      </c>
      <c r="D97" s="127">
        <v>11</v>
      </c>
      <c r="E97" s="145">
        <v>5</v>
      </c>
      <c r="F97" s="143">
        <f t="shared" si="23"/>
        <v>24</v>
      </c>
      <c r="G97" s="147">
        <f>H97/1000*D97</f>
        <v>9.548</v>
      </c>
      <c r="H97" s="143">
        <v>868</v>
      </c>
      <c r="I97" s="127">
        <v>120</v>
      </c>
      <c r="J97" s="200"/>
      <c r="O97" s="64">
        <v>3</v>
      </c>
      <c r="P97" s="52" t="s">
        <v>75</v>
      </c>
      <c r="Q97" s="143">
        <v>8</v>
      </c>
      <c r="R97" s="127">
        <v>11</v>
      </c>
      <c r="S97" s="145">
        <v>5</v>
      </c>
      <c r="T97" s="143">
        <f t="shared" si="24"/>
        <v>24</v>
      </c>
      <c r="U97" s="147">
        <f>V97/1000*R97</f>
        <v>9.548</v>
      </c>
      <c r="V97" s="143">
        <v>868</v>
      </c>
      <c r="W97" s="127">
        <v>120</v>
      </c>
      <c r="X97" s="81"/>
    </row>
    <row r="98" spans="1:24" ht="24.95" customHeight="1" x14ac:dyDescent="0.2">
      <c r="A98" s="64">
        <v>4</v>
      </c>
      <c r="B98" s="52" t="s">
        <v>68</v>
      </c>
      <c r="C98" s="143">
        <v>4</v>
      </c>
      <c r="D98" s="143">
        <v>24</v>
      </c>
      <c r="E98" s="143">
        <f>31-12</f>
        <v>19</v>
      </c>
      <c r="F98" s="143">
        <f t="shared" si="23"/>
        <v>47</v>
      </c>
      <c r="G98" s="147">
        <f>H98/1000*D98</f>
        <v>20.832000000000001</v>
      </c>
      <c r="H98" s="143">
        <v>868</v>
      </c>
      <c r="I98" s="143">
        <v>190</v>
      </c>
      <c r="J98" s="200"/>
      <c r="L98" s="13"/>
      <c r="M98" s="13">
        <f>E98-S98</f>
        <v>0</v>
      </c>
      <c r="N98" s="13"/>
      <c r="O98" s="64">
        <v>4</v>
      </c>
      <c r="P98" s="52" t="s">
        <v>68</v>
      </c>
      <c r="Q98" s="143">
        <v>4</v>
      </c>
      <c r="R98" s="143">
        <v>24</v>
      </c>
      <c r="S98" s="143">
        <f>31-12</f>
        <v>19</v>
      </c>
      <c r="T98" s="143">
        <f t="shared" si="24"/>
        <v>47</v>
      </c>
      <c r="U98" s="147">
        <f>V98/1000*R98</f>
        <v>20.832000000000001</v>
      </c>
      <c r="V98" s="143">
        <v>868</v>
      </c>
      <c r="W98" s="143">
        <v>190</v>
      </c>
      <c r="X98" s="81"/>
    </row>
    <row r="99" spans="1:24" ht="24.95" customHeight="1" x14ac:dyDescent="0.2">
      <c r="A99" s="64">
        <v>5</v>
      </c>
      <c r="B99" s="53" t="s">
        <v>66</v>
      </c>
      <c r="C99" s="143">
        <v>10</v>
      </c>
      <c r="D99" s="143">
        <v>12</v>
      </c>
      <c r="E99" s="155">
        <v>15</v>
      </c>
      <c r="F99" s="143">
        <f t="shared" si="23"/>
        <v>37</v>
      </c>
      <c r="G99" s="147">
        <f>H99/1000*D99</f>
        <v>10.416</v>
      </c>
      <c r="H99" s="143">
        <v>868</v>
      </c>
      <c r="I99" s="143">
        <v>55</v>
      </c>
      <c r="J99" s="200"/>
      <c r="K99" s="13">
        <f>C99-Q99</f>
        <v>0</v>
      </c>
      <c r="L99" s="13">
        <f>D99-R99</f>
        <v>0</v>
      </c>
      <c r="O99" s="64">
        <v>5</v>
      </c>
      <c r="P99" s="53" t="s">
        <v>66</v>
      </c>
      <c r="Q99" s="143">
        <v>10</v>
      </c>
      <c r="R99" s="143">
        <v>12</v>
      </c>
      <c r="S99" s="155">
        <v>15</v>
      </c>
      <c r="T99" s="143">
        <f t="shared" si="24"/>
        <v>37</v>
      </c>
      <c r="U99" s="147">
        <f>V99/1000*R99</f>
        <v>10.416</v>
      </c>
      <c r="V99" s="143">
        <v>868</v>
      </c>
      <c r="W99" s="143">
        <v>55</v>
      </c>
      <c r="X99" s="81"/>
    </row>
    <row r="100" spans="1:24" ht="24.95" customHeight="1" x14ac:dyDescent="0.2">
      <c r="A100" s="64">
        <v>6</v>
      </c>
      <c r="B100" s="376" t="s">
        <v>67</v>
      </c>
      <c r="C100" s="143">
        <f>8-2</f>
        <v>6</v>
      </c>
      <c r="D100" s="143">
        <f>19+2</f>
        <v>21</v>
      </c>
      <c r="E100" s="143">
        <f>30-4</f>
        <v>26</v>
      </c>
      <c r="F100" s="143">
        <f t="shared" si="23"/>
        <v>53</v>
      </c>
      <c r="G100" s="147">
        <f t="shared" ref="G100:G104" si="25">H100/1000*D100</f>
        <v>18.228000000000002</v>
      </c>
      <c r="H100" s="143">
        <v>868</v>
      </c>
      <c r="I100" s="143">
        <f>74-2</f>
        <v>72</v>
      </c>
      <c r="J100" s="200">
        <f>F100-T100</f>
        <v>-4</v>
      </c>
      <c r="K100" s="13">
        <f>C100-Q100</f>
        <v>-2</v>
      </c>
      <c r="L100" s="13">
        <f>D100-R100</f>
        <v>2</v>
      </c>
      <c r="M100" s="13">
        <f>E100-S100</f>
        <v>-4</v>
      </c>
      <c r="N100" s="13">
        <f>I100-W100</f>
        <v>-2</v>
      </c>
      <c r="O100" s="64">
        <v>6</v>
      </c>
      <c r="P100" s="52" t="s">
        <v>83</v>
      </c>
      <c r="Q100" s="143">
        <v>8</v>
      </c>
      <c r="R100" s="143">
        <v>19</v>
      </c>
      <c r="S100" s="143">
        <f>32-2</f>
        <v>30</v>
      </c>
      <c r="T100" s="143">
        <f t="shared" si="24"/>
        <v>57</v>
      </c>
      <c r="U100" s="147">
        <f t="shared" ref="U100" si="26">V100/1000*R100</f>
        <v>16.492000000000001</v>
      </c>
      <c r="V100" s="143">
        <v>868</v>
      </c>
      <c r="W100" s="143">
        <v>74</v>
      </c>
      <c r="X100" s="81"/>
    </row>
    <row r="101" spans="1:24" ht="24.95" customHeight="1" x14ac:dyDescent="0.2">
      <c r="A101" s="64">
        <v>7</v>
      </c>
      <c r="B101" s="52" t="s">
        <v>69</v>
      </c>
      <c r="C101" s="127" t="s">
        <v>12</v>
      </c>
      <c r="D101" s="127" t="s">
        <v>12</v>
      </c>
      <c r="E101" s="155" t="s">
        <v>12</v>
      </c>
      <c r="F101" s="127" t="s">
        <v>12</v>
      </c>
      <c r="G101" s="146" t="s">
        <v>12</v>
      </c>
      <c r="H101" s="143" t="s">
        <v>12</v>
      </c>
      <c r="I101" s="127" t="s">
        <v>12</v>
      </c>
      <c r="J101" s="200"/>
      <c r="O101" s="64">
        <v>7</v>
      </c>
      <c r="P101" s="52" t="s">
        <v>69</v>
      </c>
      <c r="Q101" s="127" t="s">
        <v>12</v>
      </c>
      <c r="R101" s="127" t="s">
        <v>12</v>
      </c>
      <c r="S101" s="155" t="s">
        <v>12</v>
      </c>
      <c r="T101" s="127" t="s">
        <v>12</v>
      </c>
      <c r="U101" s="146" t="s">
        <v>12</v>
      </c>
      <c r="V101" s="143" t="s">
        <v>12</v>
      </c>
      <c r="W101" s="127" t="s">
        <v>12</v>
      </c>
      <c r="X101" s="81"/>
    </row>
    <row r="102" spans="1:24" ht="24.95" customHeight="1" x14ac:dyDescent="0.2">
      <c r="A102" s="64">
        <v>8</v>
      </c>
      <c r="B102" s="52" t="s">
        <v>70</v>
      </c>
      <c r="C102" s="127" t="s">
        <v>12</v>
      </c>
      <c r="D102" s="127" t="s">
        <v>12</v>
      </c>
      <c r="E102" s="127" t="s">
        <v>12</v>
      </c>
      <c r="F102" s="127" t="s">
        <v>12</v>
      </c>
      <c r="G102" s="146" t="s">
        <v>12</v>
      </c>
      <c r="H102" s="143" t="s">
        <v>12</v>
      </c>
      <c r="I102" s="127" t="s">
        <v>12</v>
      </c>
      <c r="J102" s="200"/>
      <c r="O102" s="64">
        <v>8</v>
      </c>
      <c r="P102" s="52" t="s">
        <v>70</v>
      </c>
      <c r="Q102" s="127" t="s">
        <v>12</v>
      </c>
      <c r="R102" s="127" t="s">
        <v>12</v>
      </c>
      <c r="S102" s="127" t="s">
        <v>12</v>
      </c>
      <c r="T102" s="127" t="s">
        <v>12</v>
      </c>
      <c r="U102" s="146" t="s">
        <v>12</v>
      </c>
      <c r="V102" s="143" t="s">
        <v>12</v>
      </c>
      <c r="W102" s="127" t="s">
        <v>12</v>
      </c>
      <c r="X102" s="81"/>
    </row>
    <row r="103" spans="1:24" ht="24.95" customHeight="1" x14ac:dyDescent="0.2">
      <c r="A103" s="64">
        <v>9</v>
      </c>
      <c r="B103" s="268" t="s">
        <v>71</v>
      </c>
      <c r="C103" s="127" t="s">
        <v>12</v>
      </c>
      <c r="D103" s="127" t="s">
        <v>12</v>
      </c>
      <c r="E103" s="143">
        <f>34-2</f>
        <v>32</v>
      </c>
      <c r="F103" s="143">
        <f>E103</f>
        <v>32</v>
      </c>
      <c r="G103" s="146" t="s">
        <v>12</v>
      </c>
      <c r="H103" s="143" t="s">
        <v>12</v>
      </c>
      <c r="I103" s="127">
        <v>52</v>
      </c>
      <c r="J103" s="200"/>
      <c r="L103" s="13"/>
      <c r="M103" s="13">
        <f>E103-S103</f>
        <v>0</v>
      </c>
      <c r="N103" s="13"/>
      <c r="O103" s="64">
        <v>9</v>
      </c>
      <c r="P103" s="52" t="s">
        <v>71</v>
      </c>
      <c r="Q103" s="127" t="s">
        <v>12</v>
      </c>
      <c r="R103" s="127" t="s">
        <v>12</v>
      </c>
      <c r="S103" s="143">
        <f>34-2</f>
        <v>32</v>
      </c>
      <c r="T103" s="143">
        <f>S103</f>
        <v>32</v>
      </c>
      <c r="U103" s="146" t="s">
        <v>12</v>
      </c>
      <c r="V103" s="143" t="s">
        <v>12</v>
      </c>
      <c r="W103" s="127">
        <v>52</v>
      </c>
      <c r="X103" s="81"/>
    </row>
    <row r="104" spans="1:24" ht="24.95" customHeight="1" x14ac:dyDescent="0.2">
      <c r="A104" s="64">
        <v>10</v>
      </c>
      <c r="B104" s="52" t="s">
        <v>72</v>
      </c>
      <c r="C104" s="143">
        <v>2</v>
      </c>
      <c r="D104" s="143">
        <v>4</v>
      </c>
      <c r="E104" s="143">
        <v>18</v>
      </c>
      <c r="F104" s="143">
        <f t="shared" si="23"/>
        <v>24</v>
      </c>
      <c r="G104" s="147">
        <f t="shared" si="25"/>
        <v>3.472</v>
      </c>
      <c r="H104" s="143">
        <v>868</v>
      </c>
      <c r="I104" s="143">
        <v>24</v>
      </c>
      <c r="J104" s="200"/>
      <c r="O104" s="64">
        <v>10</v>
      </c>
      <c r="P104" s="52" t="s">
        <v>72</v>
      </c>
      <c r="Q104" s="143">
        <v>2</v>
      </c>
      <c r="R104" s="143">
        <v>4</v>
      </c>
      <c r="S104" s="143">
        <v>18</v>
      </c>
      <c r="T104" s="143">
        <f t="shared" ref="T104" si="27">S104+R104+Q104</f>
        <v>24</v>
      </c>
      <c r="U104" s="147">
        <f t="shared" ref="U104" si="28">V104/1000*R104</f>
        <v>3.472</v>
      </c>
      <c r="V104" s="143">
        <v>868</v>
      </c>
      <c r="W104" s="143">
        <v>24</v>
      </c>
      <c r="X104" s="81"/>
    </row>
    <row r="105" spans="1:24" ht="24.95" customHeight="1" thickBot="1" x14ac:dyDescent="0.25">
      <c r="A105" s="64">
        <v>11</v>
      </c>
      <c r="B105" s="54" t="s">
        <v>73</v>
      </c>
      <c r="C105" s="127" t="s">
        <v>12</v>
      </c>
      <c r="D105" s="127" t="s">
        <v>12</v>
      </c>
      <c r="E105" s="127" t="s">
        <v>12</v>
      </c>
      <c r="F105" s="127" t="s">
        <v>12</v>
      </c>
      <c r="G105" s="146" t="s">
        <v>12</v>
      </c>
      <c r="H105" s="143" t="s">
        <v>12</v>
      </c>
      <c r="I105" s="127" t="s">
        <v>12</v>
      </c>
      <c r="J105" s="200"/>
      <c r="O105" s="64">
        <v>11</v>
      </c>
      <c r="P105" s="54" t="s">
        <v>73</v>
      </c>
      <c r="Q105" s="127" t="s">
        <v>12</v>
      </c>
      <c r="R105" s="127" t="s">
        <v>12</v>
      </c>
      <c r="S105" s="127" t="s">
        <v>12</v>
      </c>
      <c r="T105" s="127" t="s">
        <v>12</v>
      </c>
      <c r="U105" s="146" t="s">
        <v>12</v>
      </c>
      <c r="V105" s="143" t="s">
        <v>12</v>
      </c>
      <c r="W105" s="127" t="s">
        <v>12</v>
      </c>
      <c r="X105" s="81"/>
    </row>
    <row r="106" spans="1:24" ht="24.95" customHeight="1" thickTop="1" thickBot="1" x14ac:dyDescent="0.25">
      <c r="A106" s="454" t="s">
        <v>13</v>
      </c>
      <c r="B106" s="455"/>
      <c r="C106" s="164">
        <f>SUM(C95:C105)</f>
        <v>34</v>
      </c>
      <c r="D106" s="165">
        <f>SUM(D95:D105)</f>
        <v>104</v>
      </c>
      <c r="E106" s="164">
        <f>SUM(E95:E105)</f>
        <v>208</v>
      </c>
      <c r="F106" s="165">
        <f>SUM(F95:F105)</f>
        <v>346</v>
      </c>
      <c r="G106" s="167">
        <f>SUM(G95:G105)</f>
        <v>90.272000000000006</v>
      </c>
      <c r="H106" s="165">
        <v>868</v>
      </c>
      <c r="I106" s="168">
        <f>SUM(I95:I105)</f>
        <v>799</v>
      </c>
      <c r="J106" s="169"/>
      <c r="O106" s="454" t="s">
        <v>13</v>
      </c>
      <c r="P106" s="455"/>
      <c r="Q106" s="164">
        <f>SUM(Q95:Q105)</f>
        <v>36</v>
      </c>
      <c r="R106" s="165">
        <f>SUM(R95:R105)</f>
        <v>102</v>
      </c>
      <c r="S106" s="164">
        <f>SUM(S95:S105)</f>
        <v>212</v>
      </c>
      <c r="T106" s="165">
        <f>SUM(T95:T105)</f>
        <v>350</v>
      </c>
      <c r="U106" s="167">
        <f>SUM(U95:U105)</f>
        <v>88.536000000000001</v>
      </c>
      <c r="V106" s="165">
        <v>868</v>
      </c>
      <c r="W106" s="168">
        <f>SUM(W95:W105)</f>
        <v>801</v>
      </c>
      <c r="X106" s="65"/>
    </row>
    <row r="107" spans="1:24" ht="24.95" customHeight="1" thickTop="1" x14ac:dyDescent="0.2">
      <c r="C107" s="224">
        <f t="shared" ref="C107:I107" si="29">C106-Q106</f>
        <v>-2</v>
      </c>
      <c r="D107" s="224">
        <f t="shared" si="29"/>
        <v>2</v>
      </c>
      <c r="E107" s="224">
        <f t="shared" si="29"/>
        <v>-4</v>
      </c>
      <c r="F107" s="224">
        <f t="shared" si="29"/>
        <v>-4</v>
      </c>
      <c r="G107" s="224">
        <f t="shared" si="29"/>
        <v>1.7360000000000042</v>
      </c>
      <c r="H107" s="224">
        <f t="shared" si="29"/>
        <v>0</v>
      </c>
      <c r="I107" s="224">
        <f t="shared" si="29"/>
        <v>-2</v>
      </c>
      <c r="M107" s="13">
        <f>M98+M100+M103</f>
        <v>-4</v>
      </c>
      <c r="N107" s="13"/>
    </row>
    <row r="108" spans="1:24" ht="24.95" customHeight="1" x14ac:dyDescent="0.2">
      <c r="B108" s="208" t="s">
        <v>4</v>
      </c>
      <c r="C108" s="209" t="s">
        <v>63</v>
      </c>
      <c r="D108" s="21"/>
      <c r="E108" s="21"/>
      <c r="F108" s="21"/>
      <c r="G108" s="45"/>
      <c r="H108">
        <f>G106/D106*1000</f>
        <v>868.00000000000011</v>
      </c>
      <c r="P108" s="38"/>
      <c r="Q108" s="21"/>
      <c r="R108" s="21"/>
      <c r="S108" s="21"/>
      <c r="T108" s="21"/>
      <c r="U108" s="45" t="s">
        <v>112</v>
      </c>
    </row>
    <row r="109" spans="1:24" ht="24.95" customHeight="1" x14ac:dyDescent="0.2">
      <c r="B109" s="208" t="s">
        <v>5</v>
      </c>
      <c r="C109" s="209" t="s">
        <v>64</v>
      </c>
      <c r="F109" s="13">
        <f>C106+D106+E106</f>
        <v>346</v>
      </c>
      <c r="G109" s="409"/>
      <c r="H109" s="410"/>
      <c r="I109" s="410"/>
      <c r="J109" s="410"/>
      <c r="U109" s="47" t="s">
        <v>38</v>
      </c>
      <c r="V109" s="46"/>
      <c r="W109" s="46"/>
      <c r="X109" s="46"/>
    </row>
    <row r="110" spans="1:24" ht="24.95" customHeight="1" x14ac:dyDescent="0.2">
      <c r="B110" s="208" t="s">
        <v>6</v>
      </c>
      <c r="C110" s="209" t="s">
        <v>65</v>
      </c>
      <c r="G110" s="45"/>
      <c r="R110" s="13"/>
      <c r="U110" s="45" t="s">
        <v>113</v>
      </c>
    </row>
    <row r="111" spans="1:24" ht="24.95" customHeight="1" x14ac:dyDescent="0.2">
      <c r="G111" s="409"/>
      <c r="H111" s="409"/>
      <c r="I111" s="409"/>
      <c r="J111" s="409"/>
      <c r="U111" s="409"/>
      <c r="V111" s="409"/>
      <c r="W111" s="409"/>
      <c r="X111" s="409"/>
    </row>
    <row r="112" spans="1:24" ht="24.95" customHeight="1" x14ac:dyDescent="0.2">
      <c r="G112" s="349"/>
      <c r="H112" s="349"/>
      <c r="I112" s="349"/>
      <c r="J112" s="349"/>
      <c r="P112" s="120"/>
      <c r="U112" s="349"/>
      <c r="V112" s="349"/>
      <c r="W112" s="349"/>
      <c r="X112" s="349"/>
    </row>
    <row r="113" spans="7:24" x14ac:dyDescent="0.2">
      <c r="G113" s="410"/>
      <c r="H113" s="410"/>
      <c r="I113" s="410"/>
      <c r="J113" s="410"/>
      <c r="P113" s="13"/>
      <c r="U113" s="410"/>
      <c r="V113" s="410"/>
      <c r="W113" s="410"/>
      <c r="X113" s="410"/>
    </row>
    <row r="114" spans="7:24" x14ac:dyDescent="0.2">
      <c r="G114" s="410"/>
      <c r="H114" s="410"/>
      <c r="I114" s="410"/>
      <c r="J114" s="410"/>
      <c r="U114" s="410"/>
      <c r="V114" s="410"/>
      <c r="W114" s="410"/>
      <c r="X114" s="410"/>
    </row>
    <row r="117" spans="7:24" ht="15" x14ac:dyDescent="0.25">
      <c r="G117" s="407"/>
      <c r="H117" s="407"/>
      <c r="I117" s="407"/>
      <c r="J117" s="407"/>
      <c r="U117" s="407"/>
      <c r="V117" s="407"/>
      <c r="W117" s="407"/>
      <c r="X117" s="407"/>
    </row>
    <row r="118" spans="7:24" x14ac:dyDescent="0.2">
      <c r="G118" s="410"/>
      <c r="H118" s="410"/>
      <c r="I118" s="410"/>
      <c r="J118" s="410"/>
      <c r="U118" s="410"/>
      <c r="V118" s="410"/>
      <c r="W118" s="410"/>
      <c r="X118" s="410"/>
    </row>
    <row r="119" spans="7:24" x14ac:dyDescent="0.2">
      <c r="G119" s="410"/>
      <c r="H119" s="410"/>
      <c r="I119" s="410"/>
      <c r="J119" s="410"/>
      <c r="U119" s="410"/>
      <c r="V119" s="410"/>
      <c r="W119" s="410"/>
      <c r="X119" s="410"/>
    </row>
    <row r="120" spans="7:24" x14ac:dyDescent="0.2">
      <c r="G120" s="349"/>
      <c r="H120" s="349"/>
      <c r="I120" s="349"/>
      <c r="J120" s="349"/>
      <c r="U120" s="349"/>
      <c r="V120" s="349"/>
      <c r="W120" s="349"/>
      <c r="X120" s="349"/>
    </row>
    <row r="121" spans="7:24" x14ac:dyDescent="0.2">
      <c r="G121" s="349"/>
      <c r="H121" s="349"/>
      <c r="I121" s="349"/>
      <c r="J121" s="349"/>
      <c r="U121" s="349"/>
      <c r="V121" s="349"/>
      <c r="W121" s="349"/>
      <c r="X121" s="349"/>
    </row>
    <row r="122" spans="7:24" x14ac:dyDescent="0.2">
      <c r="G122" s="349"/>
      <c r="H122" s="349"/>
      <c r="I122" s="349"/>
      <c r="J122" s="349"/>
      <c r="U122" s="349"/>
      <c r="V122" s="349"/>
      <c r="W122" s="349"/>
      <c r="X122" s="349"/>
    </row>
    <row r="123" spans="7:24" x14ac:dyDescent="0.2">
      <c r="G123" s="349"/>
      <c r="H123" s="349"/>
      <c r="I123" s="349"/>
      <c r="J123" s="349"/>
      <c r="U123" s="349"/>
      <c r="V123" s="349"/>
      <c r="W123" s="349"/>
      <c r="X123" s="349"/>
    </row>
    <row r="124" spans="7:24" x14ac:dyDescent="0.2">
      <c r="G124" s="349"/>
      <c r="H124" s="349"/>
      <c r="I124" s="349"/>
      <c r="J124" s="349"/>
      <c r="U124" s="349"/>
      <c r="V124" s="349"/>
      <c r="W124" s="349"/>
      <c r="X124" s="349"/>
    </row>
    <row r="125" spans="7:24" x14ac:dyDescent="0.2">
      <c r="G125" s="349"/>
      <c r="H125" s="349"/>
      <c r="I125" s="349"/>
      <c r="J125" s="349"/>
      <c r="U125" s="349"/>
      <c r="V125" s="349"/>
      <c r="W125" s="349"/>
      <c r="X125" s="349"/>
    </row>
    <row r="126" spans="7:24" ht="24.95" customHeight="1" x14ac:dyDescent="0.2">
      <c r="G126" s="349"/>
      <c r="H126" s="349"/>
      <c r="I126" s="349"/>
      <c r="J126" s="349"/>
      <c r="U126" s="349"/>
      <c r="V126" s="349"/>
      <c r="W126" s="349"/>
      <c r="X126" s="349"/>
    </row>
    <row r="127" spans="7:24" ht="24.95" customHeight="1" x14ac:dyDescent="0.2">
      <c r="G127" s="349"/>
      <c r="H127" s="349"/>
      <c r="I127" s="349"/>
      <c r="J127" s="349"/>
      <c r="U127" s="349"/>
      <c r="V127" s="349"/>
      <c r="W127" s="349"/>
      <c r="X127" s="349"/>
    </row>
    <row r="128" spans="7:24" ht="24.95" customHeight="1" x14ac:dyDescent="0.2">
      <c r="G128" s="349"/>
      <c r="H128" s="349"/>
      <c r="I128" s="349"/>
      <c r="J128" s="349"/>
      <c r="U128" s="349"/>
      <c r="V128" s="349"/>
      <c r="W128" s="349"/>
      <c r="X128" s="349"/>
    </row>
    <row r="129" spans="1:24" ht="24.95" customHeight="1" x14ac:dyDescent="0.2">
      <c r="G129" s="349"/>
      <c r="H129" s="349"/>
      <c r="I129" s="349"/>
      <c r="J129" s="349"/>
      <c r="U129" s="349"/>
      <c r="V129" s="349"/>
      <c r="W129" s="349"/>
      <c r="X129" s="349"/>
    </row>
    <row r="130" spans="1:24" ht="24.95" customHeight="1" x14ac:dyDescent="0.2">
      <c r="G130" s="349"/>
      <c r="H130" s="349"/>
      <c r="I130" s="349"/>
      <c r="J130" s="349"/>
      <c r="U130" s="349"/>
      <c r="V130" s="349"/>
      <c r="W130" s="349"/>
      <c r="X130" s="349"/>
    </row>
    <row r="131" spans="1:24" ht="24.95" customHeight="1" x14ac:dyDescent="0.3">
      <c r="A131" s="422" t="s">
        <v>51</v>
      </c>
      <c r="B131" s="422"/>
      <c r="C131" s="422"/>
      <c r="D131" s="422"/>
      <c r="E131" s="422"/>
      <c r="F131" s="422"/>
      <c r="G131" s="422"/>
      <c r="H131" s="422"/>
      <c r="I131" s="422"/>
      <c r="J131" s="422"/>
      <c r="O131" s="452" t="s">
        <v>51</v>
      </c>
      <c r="P131" s="452"/>
      <c r="Q131" s="452"/>
      <c r="R131" s="452"/>
      <c r="S131" s="452"/>
      <c r="T131" s="452"/>
      <c r="U131" s="452"/>
      <c r="V131" s="452"/>
      <c r="W131" s="452"/>
      <c r="X131" s="452"/>
    </row>
    <row r="132" spans="1:24" ht="24.95" customHeight="1" x14ac:dyDescent="0.3">
      <c r="A132" s="422" t="s">
        <v>53</v>
      </c>
      <c r="B132" s="422"/>
      <c r="C132" s="422"/>
      <c r="D132" s="422"/>
      <c r="E132" s="422"/>
      <c r="F132" s="422"/>
      <c r="G132" s="422"/>
      <c r="H132" s="422"/>
      <c r="I132" s="422"/>
      <c r="J132" s="422"/>
      <c r="O132" s="452" t="s">
        <v>53</v>
      </c>
      <c r="P132" s="452"/>
      <c r="Q132" s="452"/>
      <c r="R132" s="452"/>
      <c r="S132" s="452"/>
      <c r="T132" s="452"/>
      <c r="U132" s="452"/>
      <c r="V132" s="452"/>
      <c r="W132" s="452"/>
      <c r="X132" s="452"/>
    </row>
    <row r="133" spans="1:24" ht="24.95" customHeight="1" x14ac:dyDescent="0.3">
      <c r="A133" s="422" t="s">
        <v>114</v>
      </c>
      <c r="B133" s="422"/>
      <c r="C133" s="422"/>
      <c r="D133" s="422"/>
      <c r="E133" s="422"/>
      <c r="F133" s="422"/>
      <c r="G133" s="422"/>
      <c r="H133" s="422"/>
      <c r="I133" s="422"/>
      <c r="J133" s="422"/>
      <c r="O133" s="452" t="s">
        <v>52</v>
      </c>
      <c r="P133" s="452"/>
      <c r="Q133" s="452"/>
      <c r="R133" s="452"/>
      <c r="S133" s="452"/>
      <c r="T133" s="452"/>
      <c r="U133" s="452"/>
      <c r="V133" s="452"/>
      <c r="W133" s="452"/>
      <c r="X133" s="452"/>
    </row>
    <row r="134" spans="1:24" ht="24.95" customHeight="1" x14ac:dyDescent="0.3">
      <c r="A134" s="350"/>
      <c r="B134" s="350"/>
      <c r="C134" s="350"/>
      <c r="D134" s="350"/>
      <c r="E134" s="350"/>
      <c r="F134" s="350"/>
      <c r="G134" s="350"/>
      <c r="H134" s="350"/>
      <c r="I134" s="350"/>
      <c r="J134" s="350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</row>
    <row r="135" spans="1:24" ht="24.95" customHeight="1" x14ac:dyDescent="0.2">
      <c r="A135" s="211"/>
      <c r="B135" s="211"/>
      <c r="C135" s="211"/>
      <c r="D135" s="211"/>
      <c r="E135" s="211"/>
      <c r="F135" s="211"/>
      <c r="G135" s="211"/>
      <c r="H135" s="211"/>
      <c r="I135" s="211"/>
      <c r="J135" s="211"/>
    </row>
    <row r="136" spans="1:24" ht="24.95" customHeight="1" x14ac:dyDescent="0.2">
      <c r="A136" s="211" t="s">
        <v>0</v>
      </c>
      <c r="B136" s="211"/>
      <c r="C136" s="211" t="s">
        <v>17</v>
      </c>
      <c r="D136" s="211"/>
      <c r="E136" s="211"/>
      <c r="F136" s="211"/>
      <c r="G136" s="211"/>
      <c r="H136" s="211"/>
      <c r="I136" s="211"/>
      <c r="J136" s="211"/>
      <c r="O136" t="s">
        <v>0</v>
      </c>
      <c r="Q136" t="s">
        <v>17</v>
      </c>
    </row>
    <row r="137" spans="1:24" ht="24.95" customHeight="1" thickBot="1" x14ac:dyDescent="0.25">
      <c r="A137" s="45"/>
      <c r="E137" s="45"/>
      <c r="O137" s="45"/>
      <c r="S137" s="45"/>
    </row>
    <row r="138" spans="1:24" ht="24.95" customHeight="1" thickTop="1" thickBot="1" x14ac:dyDescent="0.25">
      <c r="A138" s="1" t="s">
        <v>2</v>
      </c>
      <c r="B138" s="2" t="s">
        <v>3</v>
      </c>
      <c r="C138" s="2" t="s">
        <v>4</v>
      </c>
      <c r="D138" s="2" t="s">
        <v>5</v>
      </c>
      <c r="E138" s="2" t="s">
        <v>6</v>
      </c>
      <c r="F138" s="3" t="s">
        <v>42</v>
      </c>
      <c r="G138" s="3" t="s">
        <v>8</v>
      </c>
      <c r="H138" s="3" t="s">
        <v>9</v>
      </c>
      <c r="I138" s="3" t="s">
        <v>10</v>
      </c>
      <c r="J138" s="4" t="s">
        <v>11</v>
      </c>
      <c r="L138" s="370" t="s">
        <v>48</v>
      </c>
      <c r="O138" s="1" t="s">
        <v>2</v>
      </c>
      <c r="P138" s="2" t="s">
        <v>3</v>
      </c>
      <c r="Q138" s="2" t="s">
        <v>4</v>
      </c>
      <c r="R138" s="2" t="s">
        <v>5</v>
      </c>
      <c r="S138" s="2" t="s">
        <v>6</v>
      </c>
      <c r="T138" s="3" t="s">
        <v>42</v>
      </c>
      <c r="U138" s="3" t="s">
        <v>8</v>
      </c>
      <c r="V138" s="3" t="s">
        <v>9</v>
      </c>
      <c r="W138" s="3" t="s">
        <v>10</v>
      </c>
      <c r="X138" s="4" t="s">
        <v>11</v>
      </c>
    </row>
    <row r="139" spans="1:24" ht="24.95" customHeight="1" thickTop="1" thickBot="1" x14ac:dyDescent="0.3">
      <c r="A139" s="5">
        <v>1</v>
      </c>
      <c r="B139" s="6">
        <v>2</v>
      </c>
      <c r="C139" s="6">
        <v>3</v>
      </c>
      <c r="D139" s="6">
        <v>4</v>
      </c>
      <c r="E139" s="6">
        <v>5</v>
      </c>
      <c r="F139" s="6">
        <v>6</v>
      </c>
      <c r="G139" s="6">
        <v>7</v>
      </c>
      <c r="H139" s="6">
        <v>8</v>
      </c>
      <c r="I139" s="6">
        <v>9</v>
      </c>
      <c r="J139" s="7">
        <v>10</v>
      </c>
      <c r="K139" t="s">
        <v>157</v>
      </c>
      <c r="L139" t="s">
        <v>158</v>
      </c>
      <c r="M139" t="s">
        <v>159</v>
      </c>
      <c r="N139" t="s">
        <v>162</v>
      </c>
      <c r="O139" s="5">
        <v>1</v>
      </c>
      <c r="P139" s="6">
        <v>2</v>
      </c>
      <c r="Q139" s="6">
        <v>3</v>
      </c>
      <c r="R139" s="6">
        <v>4</v>
      </c>
      <c r="S139" s="6">
        <v>5</v>
      </c>
      <c r="T139" s="6">
        <v>6</v>
      </c>
      <c r="U139" s="6">
        <v>7</v>
      </c>
      <c r="V139" s="6">
        <v>8</v>
      </c>
      <c r="W139" s="6">
        <v>9</v>
      </c>
      <c r="X139" s="7">
        <v>10</v>
      </c>
    </row>
    <row r="140" spans="1:24" ht="24.95" customHeight="1" thickTop="1" x14ac:dyDescent="0.2">
      <c r="A140" s="63">
        <v>1</v>
      </c>
      <c r="B140" s="50" t="s">
        <v>82</v>
      </c>
      <c r="C140" s="127" t="s">
        <v>12</v>
      </c>
      <c r="D140" s="143">
        <v>32</v>
      </c>
      <c r="E140" s="143">
        <f>66-5</f>
        <v>61</v>
      </c>
      <c r="F140" s="143">
        <f>E140+D140</f>
        <v>93</v>
      </c>
      <c r="G140" s="147">
        <f t="shared" ref="G140:G149" si="30">H140/1000*D140</f>
        <v>12.8</v>
      </c>
      <c r="H140" s="143">
        <v>400</v>
      </c>
      <c r="I140" s="143">
        <v>100</v>
      </c>
      <c r="J140" s="90"/>
      <c r="K140" s="13"/>
      <c r="L140" s="13">
        <f t="shared" ref="L140:L148" si="31">D140-R140</f>
        <v>0</v>
      </c>
      <c r="M140" s="13">
        <f t="shared" ref="M140:M148" si="32">E140-S140</f>
        <v>0</v>
      </c>
      <c r="N140" s="13"/>
      <c r="O140" s="63">
        <v>1</v>
      </c>
      <c r="P140" s="50" t="s">
        <v>82</v>
      </c>
      <c r="Q140" s="127" t="s">
        <v>12</v>
      </c>
      <c r="R140" s="143">
        <v>32</v>
      </c>
      <c r="S140" s="143">
        <f>66-5</f>
        <v>61</v>
      </c>
      <c r="T140" s="143">
        <f>S140+R140</f>
        <v>93</v>
      </c>
      <c r="U140" s="147">
        <f t="shared" ref="U140:U146" si="33">V140/1000*R140</f>
        <v>12.8</v>
      </c>
      <c r="V140" s="143">
        <v>400</v>
      </c>
      <c r="W140" s="143">
        <v>100</v>
      </c>
      <c r="X140" s="90"/>
    </row>
    <row r="141" spans="1:24" ht="24.95" customHeight="1" x14ac:dyDescent="0.2">
      <c r="A141" s="64">
        <v>2</v>
      </c>
      <c r="B141" s="51" t="s">
        <v>61</v>
      </c>
      <c r="C141" s="143">
        <v>0.4</v>
      </c>
      <c r="D141" s="143">
        <v>8</v>
      </c>
      <c r="E141" s="143">
        <v>14</v>
      </c>
      <c r="F141" s="143">
        <f t="shared" ref="F141:F142" si="34">E141+D141+C141</f>
        <v>22.4</v>
      </c>
      <c r="G141" s="147">
        <f t="shared" si="30"/>
        <v>3.2</v>
      </c>
      <c r="H141" s="143">
        <v>400</v>
      </c>
      <c r="I141" s="143">
        <v>80</v>
      </c>
      <c r="J141" s="90"/>
      <c r="K141" s="13">
        <f t="shared" ref="K141:K148" si="35">C141-Q141</f>
        <v>0</v>
      </c>
      <c r="L141" s="13">
        <f t="shared" si="31"/>
        <v>0</v>
      </c>
      <c r="M141" s="13">
        <f t="shared" si="32"/>
        <v>0</v>
      </c>
      <c r="O141" s="64">
        <v>2</v>
      </c>
      <c r="P141" s="51" t="s">
        <v>61</v>
      </c>
      <c r="Q141" s="143">
        <v>0.4</v>
      </c>
      <c r="R141" s="143">
        <v>8</v>
      </c>
      <c r="S141" s="143">
        <v>14</v>
      </c>
      <c r="T141" s="143">
        <f t="shared" ref="T141:T142" si="36">S141+R141+Q141</f>
        <v>22.4</v>
      </c>
      <c r="U141" s="147">
        <f t="shared" si="33"/>
        <v>3.2</v>
      </c>
      <c r="V141" s="143">
        <v>400</v>
      </c>
      <c r="W141" s="143">
        <v>80</v>
      </c>
      <c r="X141" s="90"/>
    </row>
    <row r="142" spans="1:24" ht="24.95" customHeight="1" x14ac:dyDescent="0.2">
      <c r="A142" s="64">
        <v>3</v>
      </c>
      <c r="B142" s="52" t="s">
        <v>75</v>
      </c>
      <c r="C142" s="143">
        <v>4</v>
      </c>
      <c r="D142" s="143">
        <v>9</v>
      </c>
      <c r="E142" s="143">
        <v>10</v>
      </c>
      <c r="F142" s="143">
        <f t="shared" si="34"/>
        <v>23</v>
      </c>
      <c r="G142" s="147">
        <f t="shared" si="30"/>
        <v>3.6</v>
      </c>
      <c r="H142" s="143">
        <v>400</v>
      </c>
      <c r="I142" s="127">
        <v>85</v>
      </c>
      <c r="J142" s="90"/>
      <c r="K142" s="13">
        <f t="shared" si="35"/>
        <v>0</v>
      </c>
      <c r="L142" s="13">
        <f t="shared" si="31"/>
        <v>0</v>
      </c>
      <c r="M142" s="13">
        <f t="shared" si="32"/>
        <v>0</v>
      </c>
      <c r="N142" s="13"/>
      <c r="O142" s="64">
        <v>3</v>
      </c>
      <c r="P142" s="52" t="s">
        <v>75</v>
      </c>
      <c r="Q142" s="143">
        <v>4</v>
      </c>
      <c r="R142" s="143">
        <v>9</v>
      </c>
      <c r="S142" s="143">
        <v>10</v>
      </c>
      <c r="T142" s="143">
        <f t="shared" si="36"/>
        <v>23</v>
      </c>
      <c r="U142" s="147">
        <f t="shared" si="33"/>
        <v>3.6</v>
      </c>
      <c r="V142" s="143">
        <v>400</v>
      </c>
      <c r="W142" s="127">
        <v>85</v>
      </c>
      <c r="X142" s="90"/>
    </row>
    <row r="143" spans="1:24" ht="24.95" customHeight="1" x14ac:dyDescent="0.2">
      <c r="A143" s="64">
        <v>4</v>
      </c>
      <c r="B143" s="268" t="s">
        <v>68</v>
      </c>
      <c r="C143" s="127">
        <v>1</v>
      </c>
      <c r="D143" s="143">
        <v>43</v>
      </c>
      <c r="E143" s="143">
        <f>41-1</f>
        <v>40</v>
      </c>
      <c r="F143" s="143">
        <f>C143+D143+E143</f>
        <v>84</v>
      </c>
      <c r="G143" s="147">
        <f t="shared" si="30"/>
        <v>17.2</v>
      </c>
      <c r="H143" s="143">
        <v>400</v>
      </c>
      <c r="I143" s="143">
        <v>235</v>
      </c>
      <c r="J143" s="90"/>
      <c r="K143" s="13">
        <f t="shared" si="35"/>
        <v>0</v>
      </c>
      <c r="L143" s="13">
        <f t="shared" si="31"/>
        <v>0</v>
      </c>
      <c r="M143" s="13">
        <f t="shared" si="32"/>
        <v>0</v>
      </c>
      <c r="N143" s="13"/>
      <c r="O143" s="64">
        <v>4</v>
      </c>
      <c r="P143" s="52" t="s">
        <v>68</v>
      </c>
      <c r="Q143" s="127">
        <v>1</v>
      </c>
      <c r="R143" s="143">
        <v>43</v>
      </c>
      <c r="S143" s="143">
        <f>41-1</f>
        <v>40</v>
      </c>
      <c r="T143" s="143">
        <f>Q143+R143+S143</f>
        <v>84</v>
      </c>
      <c r="U143" s="147">
        <f t="shared" si="33"/>
        <v>17.2</v>
      </c>
      <c r="V143" s="143">
        <v>400</v>
      </c>
      <c r="W143" s="143">
        <v>235</v>
      </c>
      <c r="X143" s="90"/>
    </row>
    <row r="144" spans="1:24" ht="24.95" customHeight="1" x14ac:dyDescent="0.2">
      <c r="A144" s="64">
        <v>5</v>
      </c>
      <c r="B144" s="53" t="s">
        <v>66</v>
      </c>
      <c r="C144" s="143">
        <v>15</v>
      </c>
      <c r="D144" s="143">
        <v>33</v>
      </c>
      <c r="E144" s="143">
        <v>74</v>
      </c>
      <c r="F144" s="143">
        <f>E144+D144+C144</f>
        <v>122</v>
      </c>
      <c r="G144" s="147">
        <f t="shared" si="30"/>
        <v>13.200000000000001</v>
      </c>
      <c r="H144" s="143">
        <v>400</v>
      </c>
      <c r="I144" s="143">
        <v>382</v>
      </c>
      <c r="J144" s="91"/>
      <c r="K144" s="13">
        <f t="shared" si="35"/>
        <v>0</v>
      </c>
      <c r="L144" s="13">
        <f t="shared" si="31"/>
        <v>0</v>
      </c>
      <c r="M144" s="13">
        <f t="shared" si="32"/>
        <v>0</v>
      </c>
      <c r="O144" s="64">
        <v>5</v>
      </c>
      <c r="P144" s="53" t="s">
        <v>66</v>
      </c>
      <c r="Q144" s="143">
        <v>15</v>
      </c>
      <c r="R144" s="143">
        <v>33</v>
      </c>
      <c r="S144" s="143">
        <v>74</v>
      </c>
      <c r="T144" s="143">
        <f>S144+R144+Q144</f>
        <v>122</v>
      </c>
      <c r="U144" s="147">
        <f t="shared" si="33"/>
        <v>13.200000000000001</v>
      </c>
      <c r="V144" s="143">
        <v>400</v>
      </c>
      <c r="W144" s="143">
        <v>382</v>
      </c>
      <c r="X144" s="91"/>
    </row>
    <row r="145" spans="1:24" ht="24.95" customHeight="1" x14ac:dyDescent="0.2">
      <c r="A145" s="64">
        <v>6</v>
      </c>
      <c r="B145" s="376" t="s">
        <v>67</v>
      </c>
      <c r="C145" s="143">
        <f>27-2</f>
        <v>25</v>
      </c>
      <c r="D145" s="143">
        <f>162+2</f>
        <v>164</v>
      </c>
      <c r="E145" s="143">
        <f>95</f>
        <v>95</v>
      </c>
      <c r="F145" s="143">
        <f t="shared" ref="F145:F149" si="37">E145+D145+C145</f>
        <v>284</v>
      </c>
      <c r="G145" s="147">
        <f t="shared" si="30"/>
        <v>65.600000000000009</v>
      </c>
      <c r="H145" s="143">
        <v>400</v>
      </c>
      <c r="I145" s="143">
        <v>117</v>
      </c>
      <c r="J145" s="90"/>
      <c r="K145" s="13">
        <f t="shared" si="35"/>
        <v>-2</v>
      </c>
      <c r="L145" s="13">
        <f t="shared" si="31"/>
        <v>2</v>
      </c>
      <c r="M145" s="13">
        <f t="shared" si="32"/>
        <v>0</v>
      </c>
      <c r="O145" s="64">
        <v>6</v>
      </c>
      <c r="P145" s="52" t="s">
        <v>67</v>
      </c>
      <c r="Q145" s="143">
        <v>27</v>
      </c>
      <c r="R145" s="143">
        <v>162</v>
      </c>
      <c r="S145" s="143">
        <v>95</v>
      </c>
      <c r="T145" s="143">
        <f t="shared" ref="T145" si="38">S145+R145+Q145</f>
        <v>284</v>
      </c>
      <c r="U145" s="147">
        <f t="shared" si="33"/>
        <v>64.8</v>
      </c>
      <c r="V145" s="143">
        <v>400</v>
      </c>
      <c r="W145" s="143">
        <v>117</v>
      </c>
      <c r="X145" s="90"/>
    </row>
    <row r="146" spans="1:24" ht="24.95" customHeight="1" x14ac:dyDescent="0.2">
      <c r="A146" s="64">
        <v>7</v>
      </c>
      <c r="B146" s="52" t="s">
        <v>69</v>
      </c>
      <c r="C146" s="143">
        <v>10</v>
      </c>
      <c r="D146" s="143">
        <v>29</v>
      </c>
      <c r="E146" s="127" t="s">
        <v>12</v>
      </c>
      <c r="F146" s="143">
        <f>D146+C146</f>
        <v>39</v>
      </c>
      <c r="G146" s="147">
        <f t="shared" si="30"/>
        <v>11.600000000000001</v>
      </c>
      <c r="H146" s="143">
        <v>400</v>
      </c>
      <c r="I146" s="127">
        <v>103</v>
      </c>
      <c r="J146" s="91"/>
      <c r="K146" s="13">
        <f t="shared" si="35"/>
        <v>0</v>
      </c>
      <c r="L146" s="13">
        <f t="shared" si="31"/>
        <v>0</v>
      </c>
      <c r="M146" s="13"/>
      <c r="O146" s="64">
        <v>7</v>
      </c>
      <c r="P146" s="52" t="s">
        <v>69</v>
      </c>
      <c r="Q146" s="143">
        <v>10</v>
      </c>
      <c r="R146" s="143">
        <v>29</v>
      </c>
      <c r="S146" s="127" t="s">
        <v>12</v>
      </c>
      <c r="T146" s="143">
        <f>R146+Q146</f>
        <v>39</v>
      </c>
      <c r="U146" s="147">
        <f t="shared" si="33"/>
        <v>11.600000000000001</v>
      </c>
      <c r="V146" s="143">
        <v>400</v>
      </c>
      <c r="W146" s="127">
        <v>103</v>
      </c>
      <c r="X146" s="91"/>
    </row>
    <row r="147" spans="1:24" ht="24.95" customHeight="1" x14ac:dyDescent="0.2">
      <c r="A147" s="64">
        <v>8</v>
      </c>
      <c r="B147" s="52" t="s">
        <v>70</v>
      </c>
      <c r="C147" s="127" t="s">
        <v>12</v>
      </c>
      <c r="D147" s="127" t="s">
        <v>12</v>
      </c>
      <c r="E147" s="127" t="s">
        <v>12</v>
      </c>
      <c r="F147" s="127" t="s">
        <v>12</v>
      </c>
      <c r="G147" s="146" t="s">
        <v>12</v>
      </c>
      <c r="H147" s="127" t="s">
        <v>12</v>
      </c>
      <c r="I147" s="127" t="s">
        <v>12</v>
      </c>
      <c r="J147" s="91"/>
      <c r="K147" s="13"/>
      <c r="L147" s="13"/>
      <c r="M147" s="13"/>
      <c r="O147" s="64">
        <v>8</v>
      </c>
      <c r="P147" s="52" t="s">
        <v>70</v>
      </c>
      <c r="Q147" s="127" t="s">
        <v>12</v>
      </c>
      <c r="R147" s="127" t="s">
        <v>12</v>
      </c>
      <c r="S147" s="127" t="s">
        <v>12</v>
      </c>
      <c r="T147" s="127" t="s">
        <v>12</v>
      </c>
      <c r="U147" s="146" t="s">
        <v>12</v>
      </c>
      <c r="V147" s="127" t="s">
        <v>12</v>
      </c>
      <c r="W147" s="127" t="s">
        <v>12</v>
      </c>
      <c r="X147" s="91"/>
    </row>
    <row r="148" spans="1:24" ht="24.95" customHeight="1" x14ac:dyDescent="0.2">
      <c r="A148" s="64">
        <v>9</v>
      </c>
      <c r="B148" s="268" t="s">
        <v>71</v>
      </c>
      <c r="C148" s="143">
        <f>14+2</f>
        <v>16</v>
      </c>
      <c r="D148" s="143">
        <v>10</v>
      </c>
      <c r="E148" s="143">
        <v>11</v>
      </c>
      <c r="F148" s="143">
        <f t="shared" si="37"/>
        <v>37</v>
      </c>
      <c r="G148" s="147">
        <f t="shared" si="30"/>
        <v>4</v>
      </c>
      <c r="H148" s="143">
        <v>400</v>
      </c>
      <c r="I148" s="127">
        <v>51</v>
      </c>
      <c r="J148" s="91"/>
      <c r="K148" s="13">
        <f t="shared" si="35"/>
        <v>0</v>
      </c>
      <c r="L148" s="13">
        <f t="shared" si="31"/>
        <v>0</v>
      </c>
      <c r="M148" s="13">
        <f t="shared" si="32"/>
        <v>0</v>
      </c>
      <c r="O148" s="64">
        <v>9</v>
      </c>
      <c r="P148" s="52" t="s">
        <v>71</v>
      </c>
      <c r="Q148" s="143">
        <f>14+2</f>
        <v>16</v>
      </c>
      <c r="R148" s="143">
        <v>10</v>
      </c>
      <c r="S148" s="143">
        <v>11</v>
      </c>
      <c r="T148" s="143">
        <f t="shared" ref="T148:T149" si="39">S148+R148+Q148</f>
        <v>37</v>
      </c>
      <c r="U148" s="147">
        <f t="shared" ref="U148:U149" si="40">V148/1000*R148</f>
        <v>4</v>
      </c>
      <c r="V148" s="143">
        <v>400</v>
      </c>
      <c r="W148" s="127">
        <v>51</v>
      </c>
      <c r="X148" s="91"/>
    </row>
    <row r="149" spans="1:24" ht="24.95" customHeight="1" x14ac:dyDescent="0.2">
      <c r="A149" s="64">
        <v>10</v>
      </c>
      <c r="B149" s="376" t="s">
        <v>72</v>
      </c>
      <c r="C149" s="378">
        <f>26+1.8-0.2</f>
        <v>27.6</v>
      </c>
      <c r="D149" s="143">
        <v>11</v>
      </c>
      <c r="E149" s="335">
        <f>3-1.8+0.2</f>
        <v>1.4</v>
      </c>
      <c r="F149" s="143">
        <f t="shared" si="37"/>
        <v>40</v>
      </c>
      <c r="G149" s="147">
        <f t="shared" si="30"/>
        <v>4.4000000000000004</v>
      </c>
      <c r="H149" s="143">
        <v>400</v>
      </c>
      <c r="I149" s="143">
        <v>93</v>
      </c>
      <c r="J149" s="91"/>
      <c r="K149" s="333">
        <f>C149-Q149</f>
        <v>1.6000000000000014</v>
      </c>
      <c r="L149" s="13">
        <f>D149-R149</f>
        <v>0</v>
      </c>
      <c r="M149" s="333">
        <f>E149-S149</f>
        <v>-1.6</v>
      </c>
      <c r="O149" s="64">
        <v>10</v>
      </c>
      <c r="P149" s="52" t="s">
        <v>72</v>
      </c>
      <c r="Q149" s="127">
        <v>26</v>
      </c>
      <c r="R149" s="143">
        <v>11</v>
      </c>
      <c r="S149" s="143">
        <v>3</v>
      </c>
      <c r="T149" s="143">
        <f t="shared" si="39"/>
        <v>40</v>
      </c>
      <c r="U149" s="147">
        <f t="shared" si="40"/>
        <v>4.4000000000000004</v>
      </c>
      <c r="V149" s="143">
        <v>400</v>
      </c>
      <c r="W149" s="143">
        <v>93</v>
      </c>
      <c r="X149" s="91"/>
    </row>
    <row r="150" spans="1:24" ht="24.95" customHeight="1" thickBot="1" x14ac:dyDescent="0.25">
      <c r="A150" s="64">
        <v>11</v>
      </c>
      <c r="B150" s="54" t="s">
        <v>73</v>
      </c>
      <c r="C150" s="127" t="s">
        <v>12</v>
      </c>
      <c r="D150" s="127" t="s">
        <v>12</v>
      </c>
      <c r="E150" s="127" t="s">
        <v>12</v>
      </c>
      <c r="F150" s="127" t="s">
        <v>12</v>
      </c>
      <c r="G150" s="146" t="s">
        <v>12</v>
      </c>
      <c r="H150" s="127" t="s">
        <v>12</v>
      </c>
      <c r="I150" s="127" t="s">
        <v>12</v>
      </c>
      <c r="J150" s="92"/>
      <c r="O150" s="64">
        <v>11</v>
      </c>
      <c r="P150" s="54" t="s">
        <v>73</v>
      </c>
      <c r="Q150" s="127" t="s">
        <v>12</v>
      </c>
      <c r="R150" s="127" t="s">
        <v>12</v>
      </c>
      <c r="S150" s="127" t="s">
        <v>12</v>
      </c>
      <c r="T150" s="127" t="s">
        <v>12</v>
      </c>
      <c r="U150" s="146" t="s">
        <v>12</v>
      </c>
      <c r="V150" s="127" t="s">
        <v>12</v>
      </c>
      <c r="W150" s="127" t="s">
        <v>12</v>
      </c>
      <c r="X150" s="92"/>
    </row>
    <row r="151" spans="1:24" ht="24.95" customHeight="1" thickTop="1" thickBot="1" x14ac:dyDescent="0.25">
      <c r="A151" s="454" t="s">
        <v>13</v>
      </c>
      <c r="B151" s="455"/>
      <c r="C151" s="164">
        <f>SUM(C140:C150)</f>
        <v>99</v>
      </c>
      <c r="D151" s="165">
        <f>SUM(D140:D150)</f>
        <v>339</v>
      </c>
      <c r="E151" s="164">
        <f>SUM(E140:E150)</f>
        <v>306.39999999999998</v>
      </c>
      <c r="F151" s="166">
        <f>SUM(F140:F150)</f>
        <v>744.4</v>
      </c>
      <c r="G151" s="167">
        <f>SUM(G140:G150)</f>
        <v>135.60000000000002</v>
      </c>
      <c r="H151" s="165">
        <v>400</v>
      </c>
      <c r="I151" s="168">
        <f>SUM(I140:I150)</f>
        <v>1246</v>
      </c>
      <c r="J151" s="67"/>
      <c r="K151" s="13"/>
      <c r="L151" s="13"/>
      <c r="O151" s="454" t="s">
        <v>13</v>
      </c>
      <c r="P151" s="455"/>
      <c r="Q151" s="164">
        <f>SUM(Q140:Q150)</f>
        <v>99.4</v>
      </c>
      <c r="R151" s="165">
        <f>SUM(R140:R150)</f>
        <v>337</v>
      </c>
      <c r="S151" s="164">
        <f>SUM(S140:S150)</f>
        <v>308</v>
      </c>
      <c r="T151" s="166">
        <f>SUM(T140:T150)</f>
        <v>744.4</v>
      </c>
      <c r="U151" s="167">
        <f>SUM(U140:U150)</f>
        <v>134.80000000000001</v>
      </c>
      <c r="V151" s="165">
        <v>400</v>
      </c>
      <c r="W151" s="168">
        <f>SUM(W140:W150)</f>
        <v>1246</v>
      </c>
      <c r="X151" s="67"/>
    </row>
    <row r="152" spans="1:24" ht="24.95" customHeight="1" thickTop="1" x14ac:dyDescent="0.2">
      <c r="C152" s="224">
        <f t="shared" ref="C152:I152" si="41">C151-Q151</f>
        <v>-0.40000000000000568</v>
      </c>
      <c r="D152" s="224">
        <f t="shared" si="41"/>
        <v>2</v>
      </c>
      <c r="E152" s="224">
        <f t="shared" si="41"/>
        <v>-1.6000000000000227</v>
      </c>
      <c r="F152" s="224">
        <f t="shared" si="41"/>
        <v>0</v>
      </c>
      <c r="G152" s="224">
        <f t="shared" si="41"/>
        <v>0.80000000000001137</v>
      </c>
      <c r="H152" s="224">
        <f t="shared" si="41"/>
        <v>0</v>
      </c>
      <c r="I152" s="224">
        <f t="shared" si="41"/>
        <v>0</v>
      </c>
    </row>
    <row r="153" spans="1:24" ht="24.95" customHeight="1" x14ac:dyDescent="0.2">
      <c r="B153" s="208" t="s">
        <v>4</v>
      </c>
      <c r="C153" s="209" t="s">
        <v>63</v>
      </c>
      <c r="D153" s="211"/>
      <c r="F153" s="21"/>
      <c r="G153" s="45"/>
      <c r="P153" s="38"/>
      <c r="Q153" s="21"/>
      <c r="R153" s="21"/>
      <c r="S153" s="21"/>
      <c r="T153" s="21"/>
      <c r="U153" s="45" t="s">
        <v>112</v>
      </c>
    </row>
    <row r="154" spans="1:24" ht="24.95" customHeight="1" x14ac:dyDescent="0.2">
      <c r="B154" s="208" t="s">
        <v>5</v>
      </c>
      <c r="C154" s="209" t="s">
        <v>64</v>
      </c>
      <c r="D154" s="211"/>
      <c r="F154" s="13"/>
      <c r="G154" s="47"/>
      <c r="H154" s="46"/>
      <c r="I154" s="46"/>
      <c r="J154" s="46"/>
      <c r="U154" s="47" t="s">
        <v>38</v>
      </c>
      <c r="V154" s="46"/>
      <c r="W154" s="46"/>
      <c r="X154" s="46"/>
    </row>
    <row r="155" spans="1:24" ht="24.95" customHeight="1" x14ac:dyDescent="0.2">
      <c r="B155" s="208" t="s">
        <v>6</v>
      </c>
      <c r="C155" s="209" t="s">
        <v>65</v>
      </c>
      <c r="D155" s="211"/>
      <c r="G155" s="45"/>
      <c r="U155" s="45" t="s">
        <v>113</v>
      </c>
    </row>
    <row r="156" spans="1:24" ht="24.95" customHeight="1" x14ac:dyDescent="0.2">
      <c r="G156" s="410"/>
      <c r="H156" s="410"/>
      <c r="I156" s="410"/>
      <c r="J156" s="410"/>
      <c r="U156" s="410"/>
      <c r="V156" s="410"/>
      <c r="W156" s="410"/>
      <c r="X156" s="410"/>
    </row>
    <row r="157" spans="1:24" ht="24.95" customHeight="1" x14ac:dyDescent="0.2">
      <c r="G157" s="349"/>
      <c r="H157" s="349"/>
      <c r="I157" s="349"/>
      <c r="J157" s="349"/>
      <c r="U157" s="349"/>
      <c r="V157" s="349"/>
      <c r="W157" s="349"/>
      <c r="X157" s="349"/>
    </row>
    <row r="158" spans="1:24" x14ac:dyDescent="0.2">
      <c r="G158" s="410"/>
      <c r="H158" s="410"/>
      <c r="I158" s="410"/>
      <c r="J158" s="410"/>
      <c r="U158" s="410"/>
      <c r="V158" s="410"/>
      <c r="W158" s="410"/>
      <c r="X158" s="410"/>
    </row>
    <row r="159" spans="1:24" x14ac:dyDescent="0.2">
      <c r="G159" s="410"/>
      <c r="H159" s="410"/>
      <c r="I159" s="410"/>
      <c r="J159" s="410"/>
      <c r="U159" s="410"/>
      <c r="V159" s="410"/>
      <c r="W159" s="410"/>
      <c r="X159" s="410"/>
    </row>
    <row r="162" spans="7:24" ht="15" x14ac:dyDescent="0.25">
      <c r="G162" s="407"/>
      <c r="H162" s="407"/>
      <c r="I162" s="407"/>
      <c r="J162" s="407"/>
      <c r="U162" s="407"/>
      <c r="V162" s="407"/>
      <c r="W162" s="407"/>
      <c r="X162" s="407"/>
    </row>
    <row r="163" spans="7:24" x14ac:dyDescent="0.2">
      <c r="G163" s="410"/>
      <c r="H163" s="410"/>
      <c r="I163" s="410"/>
      <c r="J163" s="410"/>
      <c r="U163" s="410"/>
      <c r="V163" s="410"/>
      <c r="W163" s="410"/>
      <c r="X163" s="410"/>
    </row>
    <row r="164" spans="7:24" x14ac:dyDescent="0.2">
      <c r="G164" s="410"/>
      <c r="H164" s="410"/>
      <c r="I164" s="410"/>
      <c r="J164" s="410"/>
      <c r="U164" s="410"/>
      <c r="V164" s="410"/>
      <c r="W164" s="410"/>
      <c r="X164" s="410"/>
    </row>
    <row r="165" spans="7:24" x14ac:dyDescent="0.2">
      <c r="G165" s="349"/>
      <c r="H165" s="349"/>
      <c r="I165" s="349"/>
      <c r="J165" s="349"/>
      <c r="U165" s="349"/>
      <c r="V165" s="349"/>
      <c r="W165" s="349"/>
      <c r="X165" s="349"/>
    </row>
    <row r="166" spans="7:24" x14ac:dyDescent="0.2">
      <c r="G166" s="349"/>
      <c r="H166" s="349"/>
      <c r="I166" s="349"/>
      <c r="J166" s="349"/>
      <c r="U166" s="349"/>
      <c r="V166" s="349"/>
      <c r="W166" s="349"/>
      <c r="X166" s="349"/>
    </row>
    <row r="167" spans="7:24" x14ac:dyDescent="0.2">
      <c r="G167" s="349"/>
      <c r="H167" s="349"/>
      <c r="I167" s="349"/>
      <c r="J167" s="349"/>
      <c r="U167" s="349"/>
      <c r="V167" s="349"/>
      <c r="W167" s="349"/>
      <c r="X167" s="349"/>
    </row>
    <row r="168" spans="7:24" x14ac:dyDescent="0.2">
      <c r="G168" s="349"/>
      <c r="H168" s="349"/>
      <c r="I168" s="349"/>
      <c r="J168" s="349"/>
      <c r="U168" s="349"/>
      <c r="V168" s="349"/>
      <c r="W168" s="349"/>
      <c r="X168" s="349"/>
    </row>
    <row r="169" spans="7:24" x14ac:dyDescent="0.2">
      <c r="G169" s="349"/>
      <c r="H169" s="349"/>
      <c r="I169" s="349"/>
      <c r="J169" s="349"/>
      <c r="U169" s="349"/>
      <c r="V169" s="349"/>
      <c r="W169" s="349"/>
      <c r="X169" s="349"/>
    </row>
    <row r="170" spans="7:24" x14ac:dyDescent="0.2">
      <c r="G170" s="349"/>
      <c r="H170" s="349"/>
      <c r="I170" s="349"/>
      <c r="J170" s="349"/>
      <c r="U170" s="349"/>
      <c r="V170" s="349"/>
      <c r="W170" s="349"/>
      <c r="X170" s="349"/>
    </row>
    <row r="171" spans="7:24" x14ac:dyDescent="0.2">
      <c r="G171" s="349"/>
      <c r="H171" s="349"/>
      <c r="I171" s="349"/>
      <c r="J171" s="349"/>
      <c r="U171" s="349"/>
      <c r="V171" s="349"/>
      <c r="W171" s="349"/>
      <c r="X171" s="349"/>
    </row>
    <row r="172" spans="7:24" x14ac:dyDescent="0.2">
      <c r="G172" s="349"/>
      <c r="H172" s="349"/>
      <c r="I172" s="349"/>
      <c r="J172" s="349"/>
      <c r="U172" s="349"/>
      <c r="V172" s="349"/>
      <c r="W172" s="349"/>
      <c r="X172" s="349"/>
    </row>
    <row r="173" spans="7:24" x14ac:dyDescent="0.2">
      <c r="G173" s="349"/>
      <c r="H173" s="349"/>
      <c r="I173" s="349"/>
      <c r="J173" s="349"/>
      <c r="U173" s="349"/>
      <c r="V173" s="349"/>
      <c r="W173" s="349"/>
      <c r="X173" s="349"/>
    </row>
    <row r="174" spans="7:24" x14ac:dyDescent="0.2">
      <c r="G174" s="349"/>
      <c r="H174" s="349"/>
      <c r="I174" s="349"/>
      <c r="J174" s="349"/>
      <c r="U174" s="349"/>
      <c r="V174" s="349"/>
      <c r="W174" s="349"/>
      <c r="X174" s="349"/>
    </row>
    <row r="175" spans="7:24" x14ac:dyDescent="0.2">
      <c r="G175" s="349"/>
      <c r="H175" s="349"/>
      <c r="I175" s="349"/>
      <c r="J175" s="349"/>
      <c r="U175" s="349"/>
      <c r="V175" s="349"/>
      <c r="W175" s="349"/>
      <c r="X175" s="349"/>
    </row>
    <row r="176" spans="7:24" x14ac:dyDescent="0.2">
      <c r="G176" s="349"/>
      <c r="H176" s="349"/>
      <c r="I176" s="349"/>
      <c r="J176" s="349"/>
      <c r="U176" s="349"/>
      <c r="V176" s="349"/>
      <c r="W176" s="349"/>
      <c r="X176" s="349"/>
    </row>
    <row r="177" spans="1:24" ht="24.95" customHeight="1" x14ac:dyDescent="0.2">
      <c r="G177" s="349"/>
      <c r="H177" s="349"/>
      <c r="I177" s="349"/>
      <c r="J177" s="349"/>
      <c r="U177" s="349"/>
      <c r="V177" s="349"/>
      <c r="W177" s="349"/>
      <c r="X177" s="349"/>
    </row>
    <row r="178" spans="1:24" ht="24.95" customHeight="1" x14ac:dyDescent="0.3">
      <c r="A178" s="422" t="s">
        <v>51</v>
      </c>
      <c r="B178" s="422"/>
      <c r="C178" s="422"/>
      <c r="D178" s="422"/>
      <c r="E178" s="422"/>
      <c r="F178" s="422"/>
      <c r="G178" s="422"/>
      <c r="H178" s="422"/>
      <c r="I178" s="422"/>
      <c r="J178" s="422"/>
      <c r="O178" s="452" t="s">
        <v>51</v>
      </c>
      <c r="P178" s="452"/>
      <c r="Q178" s="452"/>
      <c r="R178" s="452"/>
      <c r="S178" s="452"/>
      <c r="T178" s="452"/>
      <c r="U178" s="452"/>
      <c r="V178" s="452"/>
      <c r="W178" s="452"/>
      <c r="X178" s="452"/>
    </row>
    <row r="179" spans="1:24" ht="24.95" customHeight="1" x14ac:dyDescent="0.3">
      <c r="A179" s="422" t="s">
        <v>53</v>
      </c>
      <c r="B179" s="422"/>
      <c r="C179" s="422"/>
      <c r="D179" s="422"/>
      <c r="E179" s="422"/>
      <c r="F179" s="422"/>
      <c r="G179" s="422"/>
      <c r="H179" s="422"/>
      <c r="I179" s="422"/>
      <c r="J179" s="422"/>
      <c r="O179" s="452" t="s">
        <v>53</v>
      </c>
      <c r="P179" s="452"/>
      <c r="Q179" s="452"/>
      <c r="R179" s="452"/>
      <c r="S179" s="452"/>
      <c r="T179" s="452"/>
      <c r="U179" s="452"/>
      <c r="V179" s="452"/>
      <c r="W179" s="452"/>
      <c r="X179" s="452"/>
    </row>
    <row r="180" spans="1:24" ht="24.95" customHeight="1" x14ac:dyDescent="0.3">
      <c r="A180" s="422" t="s">
        <v>114</v>
      </c>
      <c r="B180" s="422"/>
      <c r="C180" s="422"/>
      <c r="D180" s="422"/>
      <c r="E180" s="422"/>
      <c r="F180" s="422"/>
      <c r="G180" s="422"/>
      <c r="H180" s="422"/>
      <c r="I180" s="422"/>
      <c r="J180" s="422"/>
      <c r="O180" s="452" t="s">
        <v>52</v>
      </c>
      <c r="P180" s="452"/>
      <c r="Q180" s="452"/>
      <c r="R180" s="452"/>
      <c r="S180" s="452"/>
      <c r="T180" s="452"/>
      <c r="U180" s="452"/>
      <c r="V180" s="452"/>
      <c r="W180" s="452"/>
      <c r="X180" s="452"/>
    </row>
    <row r="181" spans="1:24" ht="24.95" customHeight="1" x14ac:dyDescent="0.3">
      <c r="A181" s="350"/>
      <c r="B181" s="350"/>
      <c r="C181" s="350"/>
      <c r="D181" s="350"/>
      <c r="E181" s="350"/>
      <c r="F181" s="350"/>
      <c r="G181" s="350"/>
      <c r="H181" s="350"/>
      <c r="I181" s="350"/>
      <c r="J181" s="350"/>
      <c r="O181" s="355"/>
      <c r="P181" s="355"/>
      <c r="Q181" s="355"/>
      <c r="R181" s="355"/>
      <c r="S181" s="355"/>
      <c r="T181" s="355"/>
      <c r="U181" s="355"/>
      <c r="V181" s="355"/>
      <c r="W181" s="355"/>
      <c r="X181" s="355"/>
    </row>
    <row r="182" spans="1:24" ht="24.95" customHeight="1" x14ac:dyDescent="0.2">
      <c r="A182" s="211" t="s">
        <v>0</v>
      </c>
      <c r="B182" s="211"/>
      <c r="C182" s="211" t="s">
        <v>18</v>
      </c>
      <c r="D182" s="211"/>
      <c r="E182" s="211"/>
      <c r="F182" s="211"/>
      <c r="G182" s="211"/>
      <c r="H182" s="211"/>
      <c r="I182" s="211"/>
      <c r="J182" s="211"/>
      <c r="O182" t="s">
        <v>0</v>
      </c>
      <c r="Q182" t="s">
        <v>18</v>
      </c>
    </row>
    <row r="183" spans="1:24" ht="24.95" customHeight="1" x14ac:dyDescent="0.2">
      <c r="A183" s="45"/>
      <c r="E183" s="45"/>
      <c r="O183" s="45"/>
      <c r="S183" s="45"/>
    </row>
    <row r="184" spans="1:24" ht="24.95" customHeight="1" thickBot="1" x14ac:dyDescent="0.25"/>
    <row r="185" spans="1:24" ht="30" customHeight="1" thickTop="1" thickBot="1" x14ac:dyDescent="0.25">
      <c r="A185" s="1" t="s">
        <v>2</v>
      </c>
      <c r="B185" s="2" t="s">
        <v>3</v>
      </c>
      <c r="C185" s="2" t="s">
        <v>4</v>
      </c>
      <c r="D185" s="2" t="s">
        <v>5</v>
      </c>
      <c r="E185" s="2" t="s">
        <v>6</v>
      </c>
      <c r="F185" s="3" t="s">
        <v>43</v>
      </c>
      <c r="G185" s="3" t="s">
        <v>8</v>
      </c>
      <c r="H185" s="3" t="s">
        <v>9</v>
      </c>
      <c r="I185" s="3" t="s">
        <v>10</v>
      </c>
      <c r="J185" s="4" t="s">
        <v>11</v>
      </c>
      <c r="L185" s="370" t="s">
        <v>48</v>
      </c>
      <c r="O185" s="1" t="s">
        <v>2</v>
      </c>
      <c r="P185" s="2" t="s">
        <v>3</v>
      </c>
      <c r="Q185" s="2" t="s">
        <v>4</v>
      </c>
      <c r="R185" s="2" t="s">
        <v>5</v>
      </c>
      <c r="S185" s="2" t="s">
        <v>6</v>
      </c>
      <c r="T185" s="3" t="s">
        <v>43</v>
      </c>
      <c r="U185" s="3" t="s">
        <v>8</v>
      </c>
      <c r="V185" s="3" t="s">
        <v>9</v>
      </c>
      <c r="W185" s="3" t="s">
        <v>10</v>
      </c>
      <c r="X185" s="4" t="s">
        <v>11</v>
      </c>
    </row>
    <row r="186" spans="1:24" ht="24.95" customHeight="1" thickTop="1" thickBot="1" x14ac:dyDescent="0.3">
      <c r="A186" s="5">
        <v>1</v>
      </c>
      <c r="B186" s="6">
        <v>2</v>
      </c>
      <c r="C186" s="6">
        <v>3</v>
      </c>
      <c r="D186" s="6">
        <v>4</v>
      </c>
      <c r="E186" s="6">
        <v>5</v>
      </c>
      <c r="F186" s="6">
        <v>6</v>
      </c>
      <c r="G186" s="6">
        <v>7</v>
      </c>
      <c r="H186" s="6">
        <v>8</v>
      </c>
      <c r="I186" s="6">
        <v>9</v>
      </c>
      <c r="J186" s="7">
        <v>10</v>
      </c>
      <c r="K186" s="45" t="s">
        <v>158</v>
      </c>
      <c r="L186" s="45" t="s">
        <v>157</v>
      </c>
      <c r="M186" s="45" t="s">
        <v>159</v>
      </c>
      <c r="N186" s="357" t="s">
        <v>162</v>
      </c>
      <c r="O186" s="5">
        <v>1</v>
      </c>
      <c r="P186" s="6">
        <v>2</v>
      </c>
      <c r="Q186" s="6">
        <v>3</v>
      </c>
      <c r="R186" s="6">
        <v>4</v>
      </c>
      <c r="S186" s="6">
        <v>5</v>
      </c>
      <c r="T186" s="6">
        <v>6</v>
      </c>
      <c r="U186" s="6">
        <v>7</v>
      </c>
      <c r="V186" s="6">
        <v>8</v>
      </c>
      <c r="W186" s="6">
        <v>9</v>
      </c>
      <c r="X186" s="7">
        <v>10</v>
      </c>
    </row>
    <row r="187" spans="1:24" ht="24.95" customHeight="1" thickTop="1" x14ac:dyDescent="0.2">
      <c r="A187" s="55">
        <v>1</v>
      </c>
      <c r="B187" s="374" t="s">
        <v>82</v>
      </c>
      <c r="C187" s="137">
        <f>1+3</f>
        <v>4</v>
      </c>
      <c r="D187" s="143">
        <v>15</v>
      </c>
      <c r="E187" s="143">
        <f>83-3</f>
        <v>80</v>
      </c>
      <c r="F187" s="143">
        <f>E187+D187+C187</f>
        <v>99</v>
      </c>
      <c r="G187" s="147">
        <f>H187/1000*D187</f>
        <v>13.5</v>
      </c>
      <c r="H187" s="143">
        <v>900</v>
      </c>
      <c r="I187" s="143">
        <v>246</v>
      </c>
      <c r="J187" s="90"/>
      <c r="K187" s="13">
        <f t="shared" ref="K187:K197" si="42">D187-R187</f>
        <v>0</v>
      </c>
      <c r="L187" s="13">
        <f t="shared" ref="L187:L197" si="43">C187-Q187</f>
        <v>3</v>
      </c>
      <c r="M187">
        <f t="shared" ref="M187:M189" si="44">E187-S187</f>
        <v>-3</v>
      </c>
      <c r="N187" s="13">
        <f t="shared" ref="N187:N197" si="45">I187-W187</f>
        <v>0</v>
      </c>
      <c r="O187" s="55">
        <v>1</v>
      </c>
      <c r="P187" s="50" t="s">
        <v>82</v>
      </c>
      <c r="Q187" s="137">
        <v>1</v>
      </c>
      <c r="R187" s="143">
        <v>15</v>
      </c>
      <c r="S187" s="143">
        <v>83</v>
      </c>
      <c r="T187" s="143">
        <f>S187+R187+Q187</f>
        <v>99</v>
      </c>
      <c r="U187" s="147">
        <f>V187/1000*R187</f>
        <v>13.5</v>
      </c>
      <c r="V187" s="143">
        <v>900</v>
      </c>
      <c r="W187" s="143">
        <v>246</v>
      </c>
      <c r="X187" s="90"/>
    </row>
    <row r="188" spans="1:24" ht="24.95" customHeight="1" x14ac:dyDescent="0.2">
      <c r="A188" s="56">
        <v>2</v>
      </c>
      <c r="B188" s="51" t="s">
        <v>61</v>
      </c>
      <c r="C188" s="143">
        <v>1</v>
      </c>
      <c r="D188" s="70">
        <v>14.3</v>
      </c>
      <c r="E188" s="143">
        <v>0.5</v>
      </c>
      <c r="F188" s="70">
        <f t="shared" ref="F188:F198" si="46">E188+D188+C188</f>
        <v>15.8</v>
      </c>
      <c r="G188" s="147">
        <f>H188/1000*D188</f>
        <v>12.870000000000001</v>
      </c>
      <c r="H188" s="143">
        <v>900</v>
      </c>
      <c r="I188" s="70">
        <v>147</v>
      </c>
      <c r="J188" s="90"/>
      <c r="K188" s="13">
        <f t="shared" si="42"/>
        <v>0</v>
      </c>
      <c r="L188" s="13">
        <f t="shared" si="43"/>
        <v>0</v>
      </c>
      <c r="M188">
        <f t="shared" si="44"/>
        <v>0</v>
      </c>
      <c r="N188" s="13">
        <f t="shared" si="45"/>
        <v>0</v>
      </c>
      <c r="O188" s="56">
        <v>2</v>
      </c>
      <c r="P188" s="51" t="s">
        <v>61</v>
      </c>
      <c r="Q188" s="143">
        <v>1</v>
      </c>
      <c r="R188" s="70">
        <v>14.3</v>
      </c>
      <c r="S188" s="143">
        <v>0.5</v>
      </c>
      <c r="T188" s="70">
        <f t="shared" ref="T188:T189" si="47">S188+R188+Q188</f>
        <v>15.8</v>
      </c>
      <c r="U188" s="147">
        <f>V188/1000*R188</f>
        <v>12.870000000000001</v>
      </c>
      <c r="V188" s="143">
        <v>900</v>
      </c>
      <c r="W188" s="70">
        <v>147</v>
      </c>
      <c r="X188" s="90"/>
    </row>
    <row r="189" spans="1:24" ht="24.95" customHeight="1" x14ac:dyDescent="0.2">
      <c r="A189" s="57">
        <v>3</v>
      </c>
      <c r="B189" s="52" t="s">
        <v>75</v>
      </c>
      <c r="C189" s="127">
        <v>8</v>
      </c>
      <c r="D189" s="143">
        <v>13</v>
      </c>
      <c r="E189" s="197">
        <v>2</v>
      </c>
      <c r="F189" s="70">
        <f t="shared" si="46"/>
        <v>23</v>
      </c>
      <c r="G189" s="147">
        <f>H189/1000*D189</f>
        <v>11.700000000000001</v>
      </c>
      <c r="H189" s="143">
        <v>900</v>
      </c>
      <c r="I189" s="127">
        <v>194</v>
      </c>
      <c r="J189" s="90"/>
      <c r="K189" s="13">
        <f t="shared" si="42"/>
        <v>0</v>
      </c>
      <c r="L189" s="13">
        <f t="shared" si="43"/>
        <v>0</v>
      </c>
      <c r="M189">
        <f t="shared" si="44"/>
        <v>0</v>
      </c>
      <c r="N189" s="13">
        <f t="shared" si="45"/>
        <v>0</v>
      </c>
      <c r="O189" s="57">
        <v>3</v>
      </c>
      <c r="P189" s="52" t="s">
        <v>75</v>
      </c>
      <c r="Q189" s="127">
        <v>8</v>
      </c>
      <c r="R189" s="143">
        <v>13</v>
      </c>
      <c r="S189" s="197">
        <v>2</v>
      </c>
      <c r="T189" s="70">
        <f t="shared" si="47"/>
        <v>23</v>
      </c>
      <c r="U189" s="147">
        <f>V189/1000*R189</f>
        <v>11.700000000000001</v>
      </c>
      <c r="V189" s="143">
        <v>900</v>
      </c>
      <c r="W189" s="127">
        <v>194</v>
      </c>
      <c r="X189" s="90"/>
    </row>
    <row r="190" spans="1:24" ht="24.95" customHeight="1" x14ac:dyDescent="0.2">
      <c r="A190" s="57">
        <v>4</v>
      </c>
      <c r="B190" s="376" t="s">
        <v>68</v>
      </c>
      <c r="C190" s="143">
        <v>7</v>
      </c>
      <c r="D190" s="143">
        <v>31</v>
      </c>
      <c r="E190" s="143">
        <f>29-1</f>
        <v>28</v>
      </c>
      <c r="F190" s="70">
        <f>E190+D190+C190</f>
        <v>66</v>
      </c>
      <c r="G190" s="147">
        <f>H190/1000*D190</f>
        <v>27.900000000000002</v>
      </c>
      <c r="H190" s="143">
        <v>900</v>
      </c>
      <c r="I190" s="143">
        <v>779</v>
      </c>
      <c r="J190" s="90">
        <f>F190-T190</f>
        <v>-1</v>
      </c>
      <c r="K190" s="13">
        <f t="shared" ref="K190" si="48">D190-R190</f>
        <v>0</v>
      </c>
      <c r="L190" s="13">
        <f t="shared" ref="L190" si="49">C190-Q190</f>
        <v>0</v>
      </c>
      <c r="M190">
        <f t="shared" ref="M190:M197" si="50">E190-S190</f>
        <v>-1</v>
      </c>
      <c r="N190" s="13">
        <f t="shared" si="45"/>
        <v>0</v>
      </c>
      <c r="O190" s="57">
        <v>4</v>
      </c>
      <c r="P190" s="52" t="s">
        <v>68</v>
      </c>
      <c r="Q190" s="143">
        <v>7</v>
      </c>
      <c r="R190" s="143">
        <v>31</v>
      </c>
      <c r="S190" s="143">
        <v>29</v>
      </c>
      <c r="T190" s="70">
        <f>S190+R190+Q190</f>
        <v>67</v>
      </c>
      <c r="U190" s="147">
        <f>V190/1000*R190</f>
        <v>27.900000000000002</v>
      </c>
      <c r="V190" s="143">
        <v>900</v>
      </c>
      <c r="W190" s="143">
        <v>779</v>
      </c>
      <c r="X190" s="90"/>
    </row>
    <row r="191" spans="1:24" ht="24.95" customHeight="1" x14ac:dyDescent="0.2">
      <c r="A191" s="57">
        <v>5</v>
      </c>
      <c r="B191" s="53" t="s">
        <v>66</v>
      </c>
      <c r="C191" s="143">
        <v>20</v>
      </c>
      <c r="D191" s="127">
        <v>248</v>
      </c>
      <c r="E191" s="143">
        <v>523</v>
      </c>
      <c r="F191" s="70">
        <f t="shared" si="46"/>
        <v>791</v>
      </c>
      <c r="G191" s="147">
        <f>H191/1000*D191</f>
        <v>223.20000000000002</v>
      </c>
      <c r="H191" s="143">
        <v>900</v>
      </c>
      <c r="I191" s="70">
        <f>2636-10</f>
        <v>2626</v>
      </c>
      <c r="J191" s="90">
        <f>F191-T191</f>
        <v>0</v>
      </c>
      <c r="K191" s="13">
        <f t="shared" si="42"/>
        <v>0</v>
      </c>
      <c r="L191" s="13">
        <f t="shared" si="43"/>
        <v>0</v>
      </c>
      <c r="M191">
        <f t="shared" si="50"/>
        <v>0</v>
      </c>
      <c r="N191" s="13">
        <f t="shared" si="45"/>
        <v>0</v>
      </c>
      <c r="O191" s="57">
        <v>5</v>
      </c>
      <c r="P191" s="53" t="s">
        <v>66</v>
      </c>
      <c r="Q191" s="143">
        <v>20</v>
      </c>
      <c r="R191" s="127">
        <v>248</v>
      </c>
      <c r="S191" s="143">
        <v>523</v>
      </c>
      <c r="T191" s="70">
        <f t="shared" ref="T191:T192" si="51">S191+R191+Q191</f>
        <v>791</v>
      </c>
      <c r="U191" s="147">
        <f>V191/1000*R191</f>
        <v>223.20000000000002</v>
      </c>
      <c r="V191" s="143">
        <v>900</v>
      </c>
      <c r="W191" s="70">
        <f>2636-10</f>
        <v>2626</v>
      </c>
      <c r="X191" s="90"/>
    </row>
    <row r="192" spans="1:24" ht="24.95" customHeight="1" x14ac:dyDescent="0.2">
      <c r="A192" s="57">
        <v>6</v>
      </c>
      <c r="B192" s="376" t="s">
        <v>67</v>
      </c>
      <c r="C192" s="143">
        <f>10-2</f>
        <v>8</v>
      </c>
      <c r="D192" s="143">
        <f>37+2</f>
        <v>39</v>
      </c>
      <c r="E192" s="145">
        <f>75-2</f>
        <v>73</v>
      </c>
      <c r="F192" s="70">
        <f t="shared" si="46"/>
        <v>120</v>
      </c>
      <c r="G192" s="147">
        <f t="shared" ref="G192:G197" si="52">H192/1000*D192</f>
        <v>35.1</v>
      </c>
      <c r="H192" s="143">
        <v>900</v>
      </c>
      <c r="I192" s="143">
        <f>310-2</f>
        <v>308</v>
      </c>
      <c r="J192" s="90">
        <f>F192-T192</f>
        <v>-2</v>
      </c>
      <c r="K192" s="13">
        <f t="shared" si="42"/>
        <v>2</v>
      </c>
      <c r="L192" s="13">
        <f t="shared" si="43"/>
        <v>-2</v>
      </c>
      <c r="M192">
        <f t="shared" si="50"/>
        <v>-2</v>
      </c>
      <c r="N192" s="13">
        <f>I192-W192</f>
        <v>-2</v>
      </c>
      <c r="O192" s="57">
        <v>6</v>
      </c>
      <c r="P192" s="52" t="s">
        <v>67</v>
      </c>
      <c r="Q192" s="143">
        <v>10</v>
      </c>
      <c r="R192" s="143">
        <v>37</v>
      </c>
      <c r="S192" s="145">
        <v>75</v>
      </c>
      <c r="T192" s="70">
        <f t="shared" si="51"/>
        <v>122</v>
      </c>
      <c r="U192" s="147">
        <f t="shared" ref="U192:U197" si="53">V192/1000*R192</f>
        <v>33.300000000000004</v>
      </c>
      <c r="V192" s="143">
        <v>900</v>
      </c>
      <c r="W192" s="143">
        <v>310</v>
      </c>
      <c r="X192" s="90"/>
    </row>
    <row r="193" spans="1:24" ht="24.95" customHeight="1" x14ac:dyDescent="0.2">
      <c r="A193" s="57">
        <v>7</v>
      </c>
      <c r="B193" s="372" t="s">
        <v>69</v>
      </c>
      <c r="C193" s="143">
        <v>68</v>
      </c>
      <c r="D193" s="143">
        <f>102-5</f>
        <v>97</v>
      </c>
      <c r="E193" s="137">
        <v>5</v>
      </c>
      <c r="F193" s="70">
        <f>E193+D193+C193</f>
        <v>170</v>
      </c>
      <c r="G193" s="147">
        <f t="shared" si="52"/>
        <v>87.3</v>
      </c>
      <c r="H193" s="143">
        <v>900</v>
      </c>
      <c r="I193" s="127">
        <v>235</v>
      </c>
      <c r="J193" s="90"/>
      <c r="K193" s="13">
        <f t="shared" si="42"/>
        <v>0</v>
      </c>
      <c r="L193" s="13">
        <f t="shared" si="43"/>
        <v>0</v>
      </c>
      <c r="M193">
        <f t="shared" si="50"/>
        <v>0</v>
      </c>
      <c r="N193" s="13">
        <f t="shared" si="45"/>
        <v>0</v>
      </c>
      <c r="O193" s="57">
        <v>7</v>
      </c>
      <c r="P193" s="52" t="s">
        <v>69</v>
      </c>
      <c r="Q193" s="143">
        <v>68</v>
      </c>
      <c r="R193" s="143">
        <f>102-5</f>
        <v>97</v>
      </c>
      <c r="S193" s="137">
        <v>5</v>
      </c>
      <c r="T193" s="70">
        <f>S193+R193+Q193</f>
        <v>170</v>
      </c>
      <c r="U193" s="147">
        <f t="shared" si="53"/>
        <v>87.3</v>
      </c>
      <c r="V193" s="143">
        <v>900</v>
      </c>
      <c r="W193" s="127">
        <v>235</v>
      </c>
      <c r="X193" s="90"/>
    </row>
    <row r="194" spans="1:24" ht="24.95" customHeight="1" x14ac:dyDescent="0.2">
      <c r="A194" s="57">
        <v>8</v>
      </c>
      <c r="B194" s="372" t="s">
        <v>70</v>
      </c>
      <c r="C194" s="143">
        <v>12</v>
      </c>
      <c r="D194" s="143">
        <v>50</v>
      </c>
      <c r="E194" s="143">
        <f>57-19</f>
        <v>38</v>
      </c>
      <c r="F194" s="70">
        <f t="shared" si="46"/>
        <v>100</v>
      </c>
      <c r="G194" s="147">
        <f t="shared" si="52"/>
        <v>45</v>
      </c>
      <c r="H194" s="143">
        <v>900</v>
      </c>
      <c r="I194" s="143">
        <f>2590-4</f>
        <v>2586</v>
      </c>
      <c r="J194" s="90">
        <f>F194-T194</f>
        <v>0</v>
      </c>
      <c r="K194" s="13">
        <f t="shared" si="42"/>
        <v>0</v>
      </c>
      <c r="L194" s="13">
        <f t="shared" si="43"/>
        <v>0</v>
      </c>
      <c r="M194">
        <f t="shared" si="50"/>
        <v>0</v>
      </c>
      <c r="N194" s="13">
        <f t="shared" si="45"/>
        <v>0</v>
      </c>
      <c r="O194" s="57">
        <v>8</v>
      </c>
      <c r="P194" s="52" t="s">
        <v>70</v>
      </c>
      <c r="Q194" s="143">
        <v>12</v>
      </c>
      <c r="R194" s="143">
        <v>50</v>
      </c>
      <c r="S194" s="143">
        <f>57-19</f>
        <v>38</v>
      </c>
      <c r="T194" s="70">
        <f t="shared" ref="T194:T195" si="54">S194+R194+Q194</f>
        <v>100</v>
      </c>
      <c r="U194" s="147">
        <f t="shared" si="53"/>
        <v>45</v>
      </c>
      <c r="V194" s="143">
        <v>900</v>
      </c>
      <c r="W194" s="143">
        <f>2590-4</f>
        <v>2586</v>
      </c>
      <c r="X194" s="90"/>
    </row>
    <row r="195" spans="1:24" ht="24.95" customHeight="1" x14ac:dyDescent="0.2">
      <c r="A195" s="57">
        <v>9</v>
      </c>
      <c r="B195" s="376" t="s">
        <v>71</v>
      </c>
      <c r="C195" s="127">
        <f>27-3+1</f>
        <v>25</v>
      </c>
      <c r="D195" s="127">
        <f>35+3</f>
        <v>38</v>
      </c>
      <c r="E195" s="143">
        <f>110-1</f>
        <v>109</v>
      </c>
      <c r="F195" s="70">
        <f t="shared" si="46"/>
        <v>172</v>
      </c>
      <c r="G195" s="147">
        <f t="shared" si="52"/>
        <v>34.200000000000003</v>
      </c>
      <c r="H195" s="143">
        <v>900</v>
      </c>
      <c r="I195" s="127">
        <f>293-1</f>
        <v>292</v>
      </c>
      <c r="J195" s="90">
        <f>F195-T195</f>
        <v>0</v>
      </c>
      <c r="K195" s="13">
        <f t="shared" si="42"/>
        <v>0</v>
      </c>
      <c r="L195" s="13">
        <f t="shared" si="43"/>
        <v>1</v>
      </c>
      <c r="M195">
        <f t="shared" si="50"/>
        <v>-1</v>
      </c>
      <c r="N195" s="13">
        <f t="shared" si="45"/>
        <v>0</v>
      </c>
      <c r="O195" s="57">
        <v>9</v>
      </c>
      <c r="P195" s="52" t="s">
        <v>71</v>
      </c>
      <c r="Q195" s="127">
        <f>27-3</f>
        <v>24</v>
      </c>
      <c r="R195" s="127">
        <f>35+3</f>
        <v>38</v>
      </c>
      <c r="S195" s="143">
        <v>110</v>
      </c>
      <c r="T195" s="70">
        <f t="shared" si="54"/>
        <v>172</v>
      </c>
      <c r="U195" s="147">
        <f t="shared" si="53"/>
        <v>34.200000000000003</v>
      </c>
      <c r="V195" s="143">
        <v>900</v>
      </c>
      <c r="W195" s="127">
        <f>293-1</f>
        <v>292</v>
      </c>
      <c r="X195" s="90"/>
    </row>
    <row r="196" spans="1:24" ht="24.95" customHeight="1" x14ac:dyDescent="0.2">
      <c r="A196" s="57">
        <v>10</v>
      </c>
      <c r="B196" s="376" t="s">
        <v>72</v>
      </c>
      <c r="C196" s="127">
        <v>40</v>
      </c>
      <c r="D196" s="127">
        <v>430</v>
      </c>
      <c r="E196" s="143">
        <f>1069-1</f>
        <v>1068</v>
      </c>
      <c r="F196" s="70">
        <f>E196+D196+C196</f>
        <v>1538</v>
      </c>
      <c r="G196" s="147">
        <f t="shared" si="52"/>
        <v>387</v>
      </c>
      <c r="H196" s="143">
        <v>900</v>
      </c>
      <c r="I196" s="143">
        <f>377-1</f>
        <v>376</v>
      </c>
      <c r="J196" s="90">
        <f>F196-T196</f>
        <v>-1</v>
      </c>
      <c r="K196" s="13">
        <f t="shared" si="42"/>
        <v>0</v>
      </c>
      <c r="L196" s="13">
        <f t="shared" si="43"/>
        <v>0</v>
      </c>
      <c r="M196">
        <f t="shared" si="50"/>
        <v>-1</v>
      </c>
      <c r="N196" s="13">
        <f t="shared" si="45"/>
        <v>-1</v>
      </c>
      <c r="O196" s="57">
        <v>10</v>
      </c>
      <c r="P196" s="52" t="s">
        <v>72</v>
      </c>
      <c r="Q196" s="127">
        <v>40</v>
      </c>
      <c r="R196" s="127">
        <v>430</v>
      </c>
      <c r="S196" s="143">
        <f>1071-2</f>
        <v>1069</v>
      </c>
      <c r="T196" s="70">
        <f>S196+R196+Q196</f>
        <v>1539</v>
      </c>
      <c r="U196" s="147">
        <f t="shared" si="53"/>
        <v>387</v>
      </c>
      <c r="V196" s="143">
        <v>900</v>
      </c>
      <c r="W196" s="143">
        <f>378-1</f>
        <v>377</v>
      </c>
      <c r="X196" s="90"/>
    </row>
    <row r="197" spans="1:24" ht="24.95" customHeight="1" thickBot="1" x14ac:dyDescent="0.25">
      <c r="A197" s="57">
        <v>11</v>
      </c>
      <c r="B197" s="54" t="s">
        <v>73</v>
      </c>
      <c r="C197" s="143">
        <v>157</v>
      </c>
      <c r="D197" s="143">
        <v>209</v>
      </c>
      <c r="E197" s="143">
        <v>380</v>
      </c>
      <c r="F197" s="70">
        <f t="shared" si="46"/>
        <v>746</v>
      </c>
      <c r="G197" s="147">
        <f t="shared" si="52"/>
        <v>188.1</v>
      </c>
      <c r="H197" s="143">
        <v>900</v>
      </c>
      <c r="I197" s="143">
        <v>779</v>
      </c>
      <c r="J197" s="90"/>
      <c r="K197" s="13">
        <f t="shared" si="42"/>
        <v>0</v>
      </c>
      <c r="L197" s="13">
        <f t="shared" si="43"/>
        <v>0</v>
      </c>
      <c r="M197">
        <f t="shared" si="50"/>
        <v>0</v>
      </c>
      <c r="N197" s="13">
        <f t="shared" si="45"/>
        <v>0</v>
      </c>
      <c r="O197" s="57">
        <v>11</v>
      </c>
      <c r="P197" s="54" t="s">
        <v>73</v>
      </c>
      <c r="Q197" s="143">
        <v>157</v>
      </c>
      <c r="R197" s="143">
        <v>209</v>
      </c>
      <c r="S197" s="143">
        <v>380</v>
      </c>
      <c r="T197" s="70">
        <f t="shared" ref="T197:T198" si="55">S197+R197+Q197</f>
        <v>746</v>
      </c>
      <c r="U197" s="147">
        <f t="shared" si="53"/>
        <v>188.1</v>
      </c>
      <c r="V197" s="143">
        <v>900</v>
      </c>
      <c r="W197" s="143">
        <v>779</v>
      </c>
      <c r="X197" s="90"/>
    </row>
    <row r="198" spans="1:24" ht="24.95" customHeight="1" thickTop="1" thickBot="1" x14ac:dyDescent="0.25">
      <c r="A198" s="454" t="s">
        <v>13</v>
      </c>
      <c r="B198" s="455"/>
      <c r="C198" s="198">
        <f>SUM(C187:C197)</f>
        <v>350</v>
      </c>
      <c r="D198" s="170">
        <f>SUM(D187:D197)</f>
        <v>1184.3</v>
      </c>
      <c r="E198" s="61">
        <f>SUM(E187:E197)</f>
        <v>2306.5</v>
      </c>
      <c r="F198" s="62">
        <f t="shared" si="46"/>
        <v>3840.8</v>
      </c>
      <c r="G198" s="199">
        <f>SUM(G187:G197)</f>
        <v>1065.8699999999999</v>
      </c>
      <c r="H198" s="165">
        <v>900</v>
      </c>
      <c r="I198" s="186">
        <f>SUM(I187:I197)</f>
        <v>8568</v>
      </c>
      <c r="J198" s="104">
        <f>J190+J192+J196</f>
        <v>-4</v>
      </c>
      <c r="L198" s="13"/>
      <c r="O198" s="454" t="s">
        <v>13</v>
      </c>
      <c r="P198" s="455"/>
      <c r="Q198" s="198">
        <f>SUM(Q187:Q197)</f>
        <v>348</v>
      </c>
      <c r="R198" s="170">
        <f>SUM(R187:R197)</f>
        <v>1182.3</v>
      </c>
      <c r="S198" s="61">
        <f>SUM(S187:S197)</f>
        <v>2314.5</v>
      </c>
      <c r="T198" s="62">
        <f t="shared" si="55"/>
        <v>3844.8</v>
      </c>
      <c r="U198" s="199">
        <f>SUM(U187:U197)</f>
        <v>1064.07</v>
      </c>
      <c r="V198" s="165">
        <v>900</v>
      </c>
      <c r="W198" s="186">
        <f>SUM(W187:W197)</f>
        <v>8571</v>
      </c>
      <c r="X198" s="104"/>
    </row>
    <row r="199" spans="1:24" ht="24.95" customHeight="1" thickTop="1" x14ac:dyDescent="0.2">
      <c r="C199" s="13">
        <f t="shared" ref="C199:I199" si="56">C198-Q198</f>
        <v>2</v>
      </c>
      <c r="D199" s="13">
        <f t="shared" si="56"/>
        <v>2</v>
      </c>
      <c r="E199" s="13">
        <f t="shared" si="56"/>
        <v>-8</v>
      </c>
      <c r="F199" s="13">
        <f t="shared" si="56"/>
        <v>-4</v>
      </c>
      <c r="G199" s="13">
        <f t="shared" si="56"/>
        <v>1.7999999999999545</v>
      </c>
      <c r="H199" s="13">
        <f t="shared" si="56"/>
        <v>0</v>
      </c>
      <c r="I199" s="13">
        <f t="shared" si="56"/>
        <v>-3</v>
      </c>
      <c r="M199" s="13"/>
      <c r="N199" s="13"/>
    </row>
    <row r="200" spans="1:24" ht="24.95" customHeight="1" x14ac:dyDescent="0.2">
      <c r="B200" s="208" t="s">
        <v>4</v>
      </c>
      <c r="C200" s="209" t="s">
        <v>63</v>
      </c>
      <c r="D200" s="211"/>
      <c r="E200" s="211"/>
      <c r="F200" s="21">
        <f>SUM(F187:F197)</f>
        <v>3840.8</v>
      </c>
      <c r="G200" s="45"/>
      <c r="P200" s="38"/>
      <c r="Q200" s="21"/>
      <c r="R200" s="21"/>
      <c r="S200" s="21"/>
      <c r="T200" s="21"/>
      <c r="U200" s="45" t="s">
        <v>112</v>
      </c>
    </row>
    <row r="201" spans="1:24" ht="24.95" customHeight="1" x14ac:dyDescent="0.2">
      <c r="B201" s="208" t="s">
        <v>5</v>
      </c>
      <c r="C201" s="209" t="s">
        <v>64</v>
      </c>
      <c r="D201" s="211"/>
      <c r="E201" s="211"/>
      <c r="G201" s="409"/>
      <c r="H201" s="410"/>
      <c r="I201" s="410"/>
      <c r="J201" s="410"/>
      <c r="U201" s="47" t="s">
        <v>38</v>
      </c>
      <c r="V201" s="46"/>
      <c r="W201" s="46"/>
      <c r="X201" s="46"/>
    </row>
    <row r="202" spans="1:24" ht="24.95" customHeight="1" x14ac:dyDescent="0.2">
      <c r="B202" s="208" t="s">
        <v>6</v>
      </c>
      <c r="C202" s="209" t="s">
        <v>65</v>
      </c>
      <c r="D202" s="211"/>
      <c r="E202" s="211"/>
      <c r="G202" s="45"/>
      <c r="U202" s="45" t="s">
        <v>113</v>
      </c>
    </row>
    <row r="203" spans="1:24" ht="24.95" customHeight="1" x14ac:dyDescent="0.2">
      <c r="B203" s="211"/>
      <c r="C203" s="211"/>
      <c r="D203" s="211"/>
      <c r="E203" s="211"/>
      <c r="G203" s="409"/>
      <c r="H203" s="409"/>
      <c r="I203" s="409"/>
      <c r="J203" s="409"/>
      <c r="U203" s="409"/>
      <c r="V203" s="409"/>
      <c r="W203" s="409"/>
      <c r="X203" s="409"/>
    </row>
    <row r="204" spans="1:24" x14ac:dyDescent="0.2">
      <c r="G204" s="349"/>
      <c r="H204" s="349"/>
      <c r="I204" s="349"/>
      <c r="J204" s="349"/>
      <c r="U204" s="349"/>
      <c r="V204" s="349"/>
      <c r="W204" s="349"/>
      <c r="X204" s="349"/>
    </row>
    <row r="205" spans="1:24" x14ac:dyDescent="0.2">
      <c r="G205" s="410"/>
      <c r="H205" s="410"/>
      <c r="I205" s="410"/>
      <c r="J205" s="410"/>
      <c r="U205" s="410"/>
      <c r="V205" s="410"/>
      <c r="W205" s="410"/>
      <c r="X205" s="410"/>
    </row>
    <row r="206" spans="1:24" x14ac:dyDescent="0.2">
      <c r="G206" s="410"/>
      <c r="H206" s="410"/>
      <c r="I206" s="410"/>
      <c r="J206" s="410"/>
      <c r="U206" s="410"/>
      <c r="V206" s="410"/>
      <c r="W206" s="410"/>
      <c r="X206" s="410"/>
    </row>
    <row r="209" spans="7:24" ht="15" x14ac:dyDescent="0.25">
      <c r="G209" s="407"/>
      <c r="H209" s="407"/>
      <c r="I209" s="407"/>
      <c r="J209" s="407"/>
      <c r="U209" s="407"/>
      <c r="V209" s="407"/>
      <c r="W209" s="407"/>
      <c r="X209" s="407"/>
    </row>
    <row r="210" spans="7:24" x14ac:dyDescent="0.2">
      <c r="G210" s="410"/>
      <c r="H210" s="410"/>
      <c r="I210" s="410"/>
      <c r="J210" s="410"/>
      <c r="U210" s="410"/>
      <c r="V210" s="410"/>
      <c r="W210" s="410"/>
      <c r="X210" s="410"/>
    </row>
    <row r="211" spans="7:24" x14ac:dyDescent="0.2">
      <c r="G211" s="410"/>
      <c r="H211" s="410"/>
      <c r="I211" s="410"/>
      <c r="J211" s="410"/>
      <c r="U211" s="410"/>
      <c r="V211" s="410"/>
      <c r="W211" s="410"/>
      <c r="X211" s="410"/>
    </row>
    <row r="212" spans="7:24" x14ac:dyDescent="0.2">
      <c r="G212" s="349"/>
      <c r="H212" s="349"/>
      <c r="I212" s="349"/>
      <c r="J212" s="349"/>
      <c r="U212" s="349"/>
      <c r="V212" s="349"/>
      <c r="W212" s="349"/>
      <c r="X212" s="349"/>
    </row>
    <row r="213" spans="7:24" x14ac:dyDescent="0.2">
      <c r="G213" s="349"/>
      <c r="H213" s="349"/>
      <c r="I213" s="349"/>
      <c r="J213" s="349"/>
      <c r="U213" s="349"/>
      <c r="V213" s="349"/>
      <c r="W213" s="349"/>
      <c r="X213" s="349"/>
    </row>
    <row r="214" spans="7:24" x14ac:dyDescent="0.2">
      <c r="G214" s="349"/>
      <c r="H214" s="349"/>
      <c r="I214" s="349"/>
      <c r="J214" s="349"/>
      <c r="U214" s="349"/>
      <c r="V214" s="349"/>
      <c r="W214" s="349"/>
      <c r="X214" s="349"/>
    </row>
    <row r="215" spans="7:24" x14ac:dyDescent="0.2">
      <c r="G215" s="349"/>
      <c r="H215" s="349"/>
      <c r="I215" s="349"/>
      <c r="J215" s="349"/>
      <c r="U215" s="349"/>
      <c r="V215" s="349"/>
      <c r="W215" s="349"/>
      <c r="X215" s="349"/>
    </row>
    <row r="216" spans="7:24" x14ac:dyDescent="0.2">
      <c r="G216" s="349"/>
      <c r="H216" s="349"/>
      <c r="I216" s="349"/>
      <c r="J216" s="349"/>
      <c r="U216" s="349"/>
      <c r="V216" s="349"/>
      <c r="W216" s="349"/>
      <c r="X216" s="349"/>
    </row>
    <row r="217" spans="7:24" x14ac:dyDescent="0.2">
      <c r="G217" s="349"/>
      <c r="H217" s="349"/>
      <c r="I217" s="349"/>
      <c r="J217" s="349"/>
      <c r="U217" s="349"/>
      <c r="V217" s="349"/>
      <c r="W217" s="349"/>
      <c r="X217" s="349"/>
    </row>
    <row r="218" spans="7:24" x14ac:dyDescent="0.2">
      <c r="G218" s="349"/>
      <c r="H218" s="349"/>
      <c r="I218" s="349"/>
      <c r="J218" s="349"/>
      <c r="U218" s="349"/>
      <c r="V218" s="349"/>
      <c r="W218" s="349"/>
      <c r="X218" s="349"/>
    </row>
    <row r="219" spans="7:24" x14ac:dyDescent="0.2">
      <c r="G219" s="349"/>
      <c r="H219" s="349"/>
      <c r="I219" s="349"/>
      <c r="J219" s="349"/>
      <c r="U219" s="349"/>
      <c r="V219" s="349"/>
      <c r="W219" s="349"/>
      <c r="X219" s="349"/>
    </row>
    <row r="220" spans="7:24" x14ac:dyDescent="0.2">
      <c r="G220" s="349"/>
      <c r="H220" s="349"/>
      <c r="I220" s="349"/>
      <c r="J220" s="349"/>
      <c r="U220" s="349"/>
      <c r="V220" s="349"/>
      <c r="W220" s="349"/>
      <c r="X220" s="349"/>
    </row>
    <row r="221" spans="7:24" x14ac:dyDescent="0.2">
      <c r="G221" s="349"/>
      <c r="H221" s="349"/>
      <c r="I221" s="349"/>
      <c r="J221" s="349"/>
      <c r="U221" s="349"/>
      <c r="V221" s="349"/>
      <c r="W221" s="349"/>
      <c r="X221" s="349"/>
    </row>
    <row r="222" spans="7:24" x14ac:dyDescent="0.2">
      <c r="G222" s="349"/>
      <c r="H222" s="349"/>
      <c r="I222" s="349"/>
      <c r="J222" s="349"/>
      <c r="U222" s="349"/>
      <c r="V222" s="349"/>
      <c r="W222" s="349"/>
      <c r="X222" s="349"/>
    </row>
    <row r="223" spans="7:24" x14ac:dyDescent="0.2">
      <c r="G223" s="349"/>
      <c r="H223" s="349"/>
      <c r="I223" s="349"/>
      <c r="J223" s="349"/>
      <c r="U223" s="349"/>
      <c r="V223" s="349"/>
      <c r="W223" s="349"/>
      <c r="X223" s="349"/>
    </row>
    <row r="224" spans="7:24" x14ac:dyDescent="0.2">
      <c r="G224" s="349"/>
      <c r="H224" s="349"/>
      <c r="I224" s="349"/>
      <c r="J224" s="349"/>
      <c r="U224" s="349"/>
      <c r="V224" s="349"/>
      <c r="W224" s="349"/>
      <c r="X224" s="349"/>
    </row>
    <row r="225" spans="1:24" ht="24.95" customHeight="1" x14ac:dyDescent="0.2">
      <c r="G225" s="349"/>
      <c r="H225" s="349"/>
      <c r="I225" s="349"/>
      <c r="J225" s="349"/>
      <c r="U225" s="349"/>
      <c r="V225" s="349"/>
      <c r="W225" s="349"/>
      <c r="X225" s="349"/>
    </row>
    <row r="226" spans="1:24" ht="24.95" customHeight="1" x14ac:dyDescent="0.3">
      <c r="A226" s="422" t="s">
        <v>51</v>
      </c>
      <c r="B226" s="422"/>
      <c r="C226" s="422"/>
      <c r="D226" s="422"/>
      <c r="E226" s="422"/>
      <c r="F226" s="422"/>
      <c r="G226" s="422"/>
      <c r="H226" s="422"/>
      <c r="I226" s="422"/>
      <c r="J226" s="422"/>
      <c r="O226" s="452" t="s">
        <v>51</v>
      </c>
      <c r="P226" s="452"/>
      <c r="Q226" s="452"/>
      <c r="R226" s="452"/>
      <c r="S226" s="452"/>
      <c r="T226" s="452"/>
      <c r="U226" s="452"/>
      <c r="V226" s="452"/>
      <c r="W226" s="452"/>
      <c r="X226" s="452"/>
    </row>
    <row r="227" spans="1:24" ht="24.95" customHeight="1" x14ac:dyDescent="0.3">
      <c r="A227" s="422" t="s">
        <v>53</v>
      </c>
      <c r="B227" s="422"/>
      <c r="C227" s="422"/>
      <c r="D227" s="422"/>
      <c r="E227" s="422"/>
      <c r="F227" s="422"/>
      <c r="G227" s="422"/>
      <c r="H227" s="422"/>
      <c r="I227" s="422"/>
      <c r="J227" s="422"/>
      <c r="O227" s="452" t="s">
        <v>53</v>
      </c>
      <c r="P227" s="452"/>
      <c r="Q227" s="452"/>
      <c r="R227" s="452"/>
      <c r="S227" s="452"/>
      <c r="T227" s="452"/>
      <c r="U227" s="452"/>
      <c r="V227" s="452"/>
      <c r="W227" s="452"/>
      <c r="X227" s="452"/>
    </row>
    <row r="228" spans="1:24" ht="24.95" customHeight="1" x14ac:dyDescent="0.3">
      <c r="A228" s="422" t="s">
        <v>114</v>
      </c>
      <c r="B228" s="422"/>
      <c r="C228" s="422"/>
      <c r="D228" s="422"/>
      <c r="E228" s="422"/>
      <c r="F228" s="422"/>
      <c r="G228" s="422"/>
      <c r="H228" s="422"/>
      <c r="I228" s="422"/>
      <c r="J228" s="422"/>
      <c r="O228" s="452" t="s">
        <v>52</v>
      </c>
      <c r="P228" s="452"/>
      <c r="Q228" s="452"/>
      <c r="R228" s="452"/>
      <c r="S228" s="452"/>
      <c r="T228" s="452"/>
      <c r="U228" s="452"/>
      <c r="V228" s="452"/>
      <c r="W228" s="452"/>
      <c r="X228" s="452"/>
    </row>
    <row r="229" spans="1:24" ht="24.95" customHeight="1" x14ac:dyDescent="0.2"/>
    <row r="230" spans="1:24" ht="24.95" customHeight="1" x14ac:dyDescent="0.2">
      <c r="A230" t="s">
        <v>0</v>
      </c>
      <c r="C230" s="225" t="s">
        <v>19</v>
      </c>
      <c r="O230" t="s">
        <v>0</v>
      </c>
      <c r="Q230" t="s">
        <v>19</v>
      </c>
    </row>
    <row r="231" spans="1:24" ht="24.95" customHeight="1" thickBot="1" x14ac:dyDescent="0.25">
      <c r="A231" s="45"/>
      <c r="E231" s="45"/>
      <c r="O231" s="45"/>
      <c r="S231" s="45"/>
    </row>
    <row r="232" spans="1:24" ht="30" customHeight="1" thickTop="1" thickBot="1" x14ac:dyDescent="0.25">
      <c r="A232" s="1" t="s">
        <v>2</v>
      </c>
      <c r="B232" s="2" t="s">
        <v>3</v>
      </c>
      <c r="C232" s="2" t="s">
        <v>4</v>
      </c>
      <c r="D232" s="2" t="s">
        <v>5</v>
      </c>
      <c r="E232" s="2" t="s">
        <v>6</v>
      </c>
      <c r="F232" s="3" t="s">
        <v>44</v>
      </c>
      <c r="G232" s="3" t="s">
        <v>8</v>
      </c>
      <c r="H232" s="3" t="s">
        <v>9</v>
      </c>
      <c r="I232" s="3" t="s">
        <v>10</v>
      </c>
      <c r="J232" s="4" t="s">
        <v>11</v>
      </c>
      <c r="L232" s="370" t="s">
        <v>48</v>
      </c>
      <c r="O232" s="1" t="s">
        <v>2</v>
      </c>
      <c r="P232" s="2" t="s">
        <v>3</v>
      </c>
      <c r="Q232" s="2" t="s">
        <v>4</v>
      </c>
      <c r="R232" s="2" t="s">
        <v>5</v>
      </c>
      <c r="S232" s="2" t="s">
        <v>6</v>
      </c>
      <c r="T232" s="3" t="s">
        <v>44</v>
      </c>
      <c r="U232" s="3" t="s">
        <v>8</v>
      </c>
      <c r="V232" s="3" t="s">
        <v>9</v>
      </c>
      <c r="W232" s="3" t="s">
        <v>10</v>
      </c>
      <c r="X232" s="4" t="s">
        <v>11</v>
      </c>
    </row>
    <row r="233" spans="1:24" ht="24.95" customHeight="1" thickTop="1" thickBot="1" x14ac:dyDescent="0.3">
      <c r="A233" s="5">
        <v>1</v>
      </c>
      <c r="B233" s="6">
        <v>2</v>
      </c>
      <c r="C233" s="6">
        <v>3</v>
      </c>
      <c r="D233" s="6">
        <v>4</v>
      </c>
      <c r="E233" s="6">
        <v>5</v>
      </c>
      <c r="F233" s="6">
        <v>6</v>
      </c>
      <c r="G233" s="6">
        <v>7</v>
      </c>
      <c r="H233" s="6">
        <v>8</v>
      </c>
      <c r="I233" s="6">
        <v>9</v>
      </c>
      <c r="J233" s="7">
        <v>10</v>
      </c>
      <c r="K233" s="45" t="s">
        <v>4</v>
      </c>
      <c r="L233" s="45" t="s">
        <v>5</v>
      </c>
      <c r="M233" s="45" t="s">
        <v>6</v>
      </c>
      <c r="N233" s="357" t="s">
        <v>162</v>
      </c>
      <c r="O233" s="5">
        <v>1</v>
      </c>
      <c r="P233" s="6">
        <v>2</v>
      </c>
      <c r="Q233" s="6">
        <v>3</v>
      </c>
      <c r="R233" s="6">
        <v>4</v>
      </c>
      <c r="S233" s="6">
        <v>5</v>
      </c>
      <c r="T233" s="6">
        <v>6</v>
      </c>
      <c r="U233" s="6">
        <v>7</v>
      </c>
      <c r="V233" s="6">
        <v>8</v>
      </c>
      <c r="W233" s="6">
        <v>9</v>
      </c>
      <c r="X233" s="7">
        <v>10</v>
      </c>
    </row>
    <row r="234" spans="1:24" ht="24.95" customHeight="1" thickTop="1" x14ac:dyDescent="0.2">
      <c r="A234" s="55">
        <v>1</v>
      </c>
      <c r="B234" s="50" t="s">
        <v>82</v>
      </c>
      <c r="C234" s="334">
        <v>2</v>
      </c>
      <c r="D234" s="335">
        <v>7</v>
      </c>
      <c r="E234" s="335">
        <f>16-2</f>
        <v>14</v>
      </c>
      <c r="F234" s="335">
        <f>E234+D234+C234</f>
        <v>23</v>
      </c>
      <c r="G234" s="147">
        <f>H234/1000*D234</f>
        <v>2.6179999999999999</v>
      </c>
      <c r="H234" s="143">
        <v>374</v>
      </c>
      <c r="I234" s="143">
        <v>31</v>
      </c>
      <c r="J234" s="177"/>
      <c r="K234" s="333"/>
      <c r="L234" s="333"/>
      <c r="M234" s="333"/>
      <c r="N234" s="333"/>
      <c r="O234" s="55">
        <v>1</v>
      </c>
      <c r="P234" s="50" t="s">
        <v>82</v>
      </c>
      <c r="Q234" s="334">
        <v>2</v>
      </c>
      <c r="R234" s="335">
        <v>7</v>
      </c>
      <c r="S234" s="335">
        <f>16-2</f>
        <v>14</v>
      </c>
      <c r="T234" s="335">
        <f>S234+R234+Q234</f>
        <v>23</v>
      </c>
      <c r="U234" s="147">
        <f>V234/1000*R234</f>
        <v>2.6179999999999999</v>
      </c>
      <c r="V234" s="143">
        <v>374</v>
      </c>
      <c r="W234" s="143">
        <v>31</v>
      </c>
      <c r="X234" s="91"/>
    </row>
    <row r="235" spans="1:24" ht="24.95" customHeight="1" x14ac:dyDescent="0.2">
      <c r="A235" s="56">
        <v>2</v>
      </c>
      <c r="B235" s="356" t="s">
        <v>61</v>
      </c>
      <c r="C235" s="339">
        <f>30.5-0.5</f>
        <v>30</v>
      </c>
      <c r="D235" s="335">
        <v>4</v>
      </c>
      <c r="E235" s="335">
        <f>0.3+0.5</f>
        <v>0.8</v>
      </c>
      <c r="F235" s="335">
        <f t="shared" ref="F235" si="57">E235+D235+C235</f>
        <v>34.799999999999997</v>
      </c>
      <c r="G235" s="147">
        <f>H235/1000*D235</f>
        <v>1.496</v>
      </c>
      <c r="H235" s="143">
        <v>374</v>
      </c>
      <c r="I235" s="143">
        <v>156</v>
      </c>
      <c r="J235" s="177"/>
      <c r="K235" s="333"/>
      <c r="L235" s="333"/>
      <c r="M235" s="333"/>
      <c r="N235" s="333"/>
      <c r="O235" s="56">
        <v>2</v>
      </c>
      <c r="P235" s="51" t="s">
        <v>61</v>
      </c>
      <c r="Q235" s="339">
        <f>30.3-0.5</f>
        <v>29.8</v>
      </c>
      <c r="R235" s="335">
        <v>4</v>
      </c>
      <c r="S235" s="335">
        <f>0.3+0.5</f>
        <v>0.8</v>
      </c>
      <c r="T235" s="335">
        <f t="shared" ref="T235" si="58">S235+R235+Q235</f>
        <v>34.6</v>
      </c>
      <c r="U235" s="147">
        <f>V235/1000*R235</f>
        <v>1.496</v>
      </c>
      <c r="V235" s="143">
        <v>374</v>
      </c>
      <c r="W235" s="143">
        <v>156</v>
      </c>
      <c r="X235" s="90"/>
    </row>
    <row r="236" spans="1:24" ht="24.95" customHeight="1" x14ac:dyDescent="0.2">
      <c r="A236" s="57">
        <v>3</v>
      </c>
      <c r="B236" s="52" t="s">
        <v>75</v>
      </c>
      <c r="C236" s="334" t="s">
        <v>12</v>
      </c>
      <c r="D236" s="335">
        <v>1</v>
      </c>
      <c r="E236" s="334" t="s">
        <v>12</v>
      </c>
      <c r="F236" s="335">
        <f>D236</f>
        <v>1</v>
      </c>
      <c r="G236" s="147">
        <f>H236/1000*D236</f>
        <v>0.374</v>
      </c>
      <c r="H236" s="143">
        <v>374</v>
      </c>
      <c r="I236" s="127">
        <v>42</v>
      </c>
      <c r="J236" s="196"/>
      <c r="K236" s="333"/>
      <c r="L236" s="333"/>
      <c r="M236" s="333"/>
      <c r="N236" s="333"/>
      <c r="O236" s="57">
        <v>3</v>
      </c>
      <c r="P236" s="52" t="s">
        <v>75</v>
      </c>
      <c r="Q236" s="334" t="s">
        <v>12</v>
      </c>
      <c r="R236" s="335">
        <v>1</v>
      </c>
      <c r="S236" s="334" t="s">
        <v>12</v>
      </c>
      <c r="T236" s="335">
        <f>R236</f>
        <v>1</v>
      </c>
      <c r="U236" s="147">
        <f>V236/1000*R236</f>
        <v>0.374</v>
      </c>
      <c r="V236" s="143">
        <v>374</v>
      </c>
      <c r="W236" s="127">
        <v>42</v>
      </c>
      <c r="X236" s="105"/>
    </row>
    <row r="237" spans="1:24" ht="24.95" customHeight="1" x14ac:dyDescent="0.2">
      <c r="A237" s="57">
        <v>4</v>
      </c>
      <c r="B237" s="52" t="s">
        <v>68</v>
      </c>
      <c r="C237" s="335">
        <v>0</v>
      </c>
      <c r="D237" s="335">
        <v>0</v>
      </c>
      <c r="E237" s="335" t="s">
        <v>12</v>
      </c>
      <c r="F237" s="335">
        <v>0</v>
      </c>
      <c r="G237" s="148" t="s">
        <v>12</v>
      </c>
      <c r="H237" s="137" t="s">
        <v>12</v>
      </c>
      <c r="I237" s="143">
        <v>0</v>
      </c>
      <c r="J237" s="177"/>
      <c r="K237" s="333"/>
      <c r="L237" s="333"/>
      <c r="M237" s="333"/>
      <c r="N237" s="333"/>
      <c r="O237" s="57">
        <v>4</v>
      </c>
      <c r="P237" s="52" t="s">
        <v>68</v>
      </c>
      <c r="Q237" s="335">
        <v>0</v>
      </c>
      <c r="R237" s="335">
        <v>0</v>
      </c>
      <c r="S237" s="335" t="s">
        <v>12</v>
      </c>
      <c r="T237" s="335">
        <v>0</v>
      </c>
      <c r="U237" s="148" t="s">
        <v>12</v>
      </c>
      <c r="V237" s="137" t="s">
        <v>12</v>
      </c>
      <c r="W237" s="143">
        <v>0</v>
      </c>
      <c r="X237" s="91"/>
    </row>
    <row r="238" spans="1:24" ht="24.95" customHeight="1" x14ac:dyDescent="0.2">
      <c r="A238" s="57">
        <v>5</v>
      </c>
      <c r="B238" s="53" t="s">
        <v>66</v>
      </c>
      <c r="C238" s="335">
        <v>13</v>
      </c>
      <c r="D238" s="335">
        <v>31</v>
      </c>
      <c r="E238" s="334" t="s">
        <v>12</v>
      </c>
      <c r="F238" s="335">
        <f>C238+D238</f>
        <v>44</v>
      </c>
      <c r="G238" s="147">
        <f>H238/1000*D238</f>
        <v>11.593999999999999</v>
      </c>
      <c r="H238" s="143">
        <v>374</v>
      </c>
      <c r="I238" s="143">
        <v>199</v>
      </c>
      <c r="J238" s="177"/>
      <c r="K238" s="333"/>
      <c r="L238" s="333"/>
      <c r="M238" s="333"/>
      <c r="N238" s="333"/>
      <c r="O238" s="57">
        <v>5</v>
      </c>
      <c r="P238" s="53" t="s">
        <v>66</v>
      </c>
      <c r="Q238" s="335">
        <v>13</v>
      </c>
      <c r="R238" s="335">
        <v>31</v>
      </c>
      <c r="S238" s="334" t="s">
        <v>12</v>
      </c>
      <c r="T238" s="335">
        <f>Q238+R238</f>
        <v>44</v>
      </c>
      <c r="U238" s="147">
        <f>V238/1000*R238</f>
        <v>11.593999999999999</v>
      </c>
      <c r="V238" s="143">
        <v>374</v>
      </c>
      <c r="W238" s="143">
        <v>199</v>
      </c>
      <c r="X238" s="91"/>
    </row>
    <row r="239" spans="1:24" ht="24.95" customHeight="1" x14ac:dyDescent="0.2">
      <c r="A239" s="57">
        <v>6</v>
      </c>
      <c r="B239" s="376" t="s">
        <v>67</v>
      </c>
      <c r="C239" s="335">
        <f>16-6</f>
        <v>10</v>
      </c>
      <c r="D239" s="335">
        <f>11+6</f>
        <v>17</v>
      </c>
      <c r="E239" s="335">
        <f>3</f>
        <v>3</v>
      </c>
      <c r="F239" s="335">
        <f t="shared" ref="F239:F240" si="59">E239+D239+C239</f>
        <v>30</v>
      </c>
      <c r="G239" s="147">
        <f t="shared" ref="G239:G245" si="60">H239/1000*D239</f>
        <v>6.3579999999999997</v>
      </c>
      <c r="H239" s="143">
        <v>374</v>
      </c>
      <c r="I239" s="143">
        <v>60</v>
      </c>
      <c r="J239" s="177"/>
      <c r="K239" s="333">
        <f>C239-Q239</f>
        <v>-6</v>
      </c>
      <c r="L239" s="333">
        <f>D239-R239</f>
        <v>6</v>
      </c>
      <c r="M239" s="333">
        <f>E239-S239</f>
        <v>0</v>
      </c>
      <c r="N239" s="333">
        <f>F239-T239</f>
        <v>0</v>
      </c>
      <c r="O239" s="57">
        <v>6</v>
      </c>
      <c r="P239" s="52" t="s">
        <v>67</v>
      </c>
      <c r="Q239" s="335">
        <v>16</v>
      </c>
      <c r="R239" s="335">
        <v>11</v>
      </c>
      <c r="S239" s="335">
        <v>3</v>
      </c>
      <c r="T239" s="335">
        <f t="shared" ref="T239:T240" si="61">S239+R239+Q239</f>
        <v>30</v>
      </c>
      <c r="U239" s="147">
        <f t="shared" ref="U239:U241" si="62">V239/1000*R239</f>
        <v>4.1139999999999999</v>
      </c>
      <c r="V239" s="143">
        <v>374</v>
      </c>
      <c r="W239" s="143">
        <v>60</v>
      </c>
      <c r="X239" s="91"/>
    </row>
    <row r="240" spans="1:24" ht="24.95" customHeight="1" x14ac:dyDescent="0.2">
      <c r="A240" s="57">
        <v>7</v>
      </c>
      <c r="B240" s="376" t="s">
        <v>69</v>
      </c>
      <c r="C240" s="335">
        <v>20</v>
      </c>
      <c r="D240" s="335">
        <f>13-5</f>
        <v>8</v>
      </c>
      <c r="E240" s="335">
        <f>5+5-3</f>
        <v>7</v>
      </c>
      <c r="F240" s="335">
        <f t="shared" si="59"/>
        <v>35</v>
      </c>
      <c r="G240" s="147">
        <f t="shared" si="60"/>
        <v>2.992</v>
      </c>
      <c r="H240" s="143">
        <v>374</v>
      </c>
      <c r="I240" s="127">
        <f>82-2</f>
        <v>80</v>
      </c>
      <c r="J240" s="177"/>
      <c r="K240" s="333">
        <f t="shared" ref="K240" si="63">C240-Q240</f>
        <v>0</v>
      </c>
      <c r="L240" s="333">
        <f t="shared" ref="L240" si="64">D240-R240</f>
        <v>-5</v>
      </c>
      <c r="M240" s="333">
        <f t="shared" ref="M240" si="65">E240-S240</f>
        <v>2</v>
      </c>
      <c r="N240" s="333">
        <f>I240-W240</f>
        <v>-2</v>
      </c>
      <c r="O240" s="57">
        <v>7</v>
      </c>
      <c r="P240" s="52" t="s">
        <v>69</v>
      </c>
      <c r="Q240" s="335">
        <v>20</v>
      </c>
      <c r="R240" s="335">
        <v>13</v>
      </c>
      <c r="S240" s="335">
        <v>5</v>
      </c>
      <c r="T240" s="335">
        <f t="shared" si="61"/>
        <v>38</v>
      </c>
      <c r="U240" s="147">
        <f t="shared" si="62"/>
        <v>4.8620000000000001</v>
      </c>
      <c r="V240" s="143">
        <v>374</v>
      </c>
      <c r="W240" s="127">
        <v>82</v>
      </c>
      <c r="X240" s="90"/>
    </row>
    <row r="241" spans="1:24" ht="24.95" customHeight="1" x14ac:dyDescent="0.2">
      <c r="A241" s="57">
        <v>8</v>
      </c>
      <c r="B241" s="52" t="s">
        <v>70</v>
      </c>
      <c r="C241" s="339">
        <f>58</f>
        <v>58</v>
      </c>
      <c r="D241" s="335">
        <v>58</v>
      </c>
      <c r="E241" s="339">
        <f>20</f>
        <v>20</v>
      </c>
      <c r="F241" s="335">
        <f>E241+D241+C241</f>
        <v>136</v>
      </c>
      <c r="G241" s="147">
        <f t="shared" si="60"/>
        <v>21.692</v>
      </c>
      <c r="H241" s="143">
        <v>374</v>
      </c>
      <c r="I241" s="143">
        <v>267</v>
      </c>
      <c r="J241" s="177"/>
      <c r="K241" s="333"/>
      <c r="L241" s="333"/>
      <c r="M241" s="333"/>
      <c r="N241" s="333"/>
      <c r="O241" s="57">
        <v>8</v>
      </c>
      <c r="P241" s="52" t="s">
        <v>70</v>
      </c>
      <c r="Q241" s="339">
        <f>58</f>
        <v>58</v>
      </c>
      <c r="R241" s="335">
        <v>58</v>
      </c>
      <c r="S241" s="339">
        <f>20</f>
        <v>20</v>
      </c>
      <c r="T241" s="335">
        <f>S241+R241+Q241</f>
        <v>136</v>
      </c>
      <c r="U241" s="147">
        <f t="shared" si="62"/>
        <v>21.692</v>
      </c>
      <c r="V241" s="143">
        <v>374</v>
      </c>
      <c r="W241" s="143">
        <v>267</v>
      </c>
      <c r="X241" s="90"/>
    </row>
    <row r="242" spans="1:24" ht="24.95" customHeight="1" x14ac:dyDescent="0.2">
      <c r="A242" s="57">
        <v>9</v>
      </c>
      <c r="B242" s="52" t="s">
        <v>71</v>
      </c>
      <c r="C242" s="334" t="s">
        <v>12</v>
      </c>
      <c r="D242" s="334" t="s">
        <v>12</v>
      </c>
      <c r="E242" s="334" t="s">
        <v>12</v>
      </c>
      <c r="F242" s="334" t="s">
        <v>12</v>
      </c>
      <c r="G242" s="148" t="s">
        <v>12</v>
      </c>
      <c r="H242" s="137" t="s">
        <v>12</v>
      </c>
      <c r="I242" s="137" t="s">
        <v>12</v>
      </c>
      <c r="J242" s="177"/>
      <c r="K242" s="333"/>
      <c r="L242" s="333"/>
      <c r="M242" s="333"/>
      <c r="N242" s="333"/>
      <c r="O242" s="57">
        <v>9</v>
      </c>
      <c r="P242" s="52" t="s">
        <v>71</v>
      </c>
      <c r="Q242" s="334" t="s">
        <v>12</v>
      </c>
      <c r="R242" s="334" t="s">
        <v>12</v>
      </c>
      <c r="S242" s="334" t="s">
        <v>12</v>
      </c>
      <c r="T242" s="334" t="s">
        <v>12</v>
      </c>
      <c r="U242" s="148" t="s">
        <v>12</v>
      </c>
      <c r="V242" s="137" t="s">
        <v>12</v>
      </c>
      <c r="W242" s="137" t="s">
        <v>12</v>
      </c>
      <c r="X242" s="90"/>
    </row>
    <row r="243" spans="1:24" ht="24.95" customHeight="1" x14ac:dyDescent="0.2">
      <c r="A243" s="57">
        <v>10</v>
      </c>
      <c r="B243" s="52" t="s">
        <v>72</v>
      </c>
      <c r="C243" s="334" t="s">
        <v>12</v>
      </c>
      <c r="D243" s="334" t="s">
        <v>12</v>
      </c>
      <c r="E243" s="334" t="s">
        <v>12</v>
      </c>
      <c r="F243" s="334" t="s">
        <v>12</v>
      </c>
      <c r="G243" s="148" t="s">
        <v>12</v>
      </c>
      <c r="H243" s="137" t="s">
        <v>12</v>
      </c>
      <c r="I243" s="137" t="s">
        <v>12</v>
      </c>
      <c r="J243" s="177"/>
      <c r="K243" s="333"/>
      <c r="L243" s="333"/>
      <c r="M243" s="333"/>
      <c r="N243" s="333"/>
      <c r="O243" s="57">
        <v>10</v>
      </c>
      <c r="P243" s="52" t="s">
        <v>72</v>
      </c>
      <c r="Q243" s="334" t="s">
        <v>12</v>
      </c>
      <c r="R243" s="334" t="s">
        <v>12</v>
      </c>
      <c r="S243" s="334" t="s">
        <v>12</v>
      </c>
      <c r="T243" s="334" t="s">
        <v>12</v>
      </c>
      <c r="U243" s="148" t="s">
        <v>12</v>
      </c>
      <c r="V243" s="137" t="s">
        <v>12</v>
      </c>
      <c r="W243" s="137" t="s">
        <v>12</v>
      </c>
      <c r="X243" s="91"/>
    </row>
    <row r="244" spans="1:24" ht="24.95" customHeight="1" thickBot="1" x14ac:dyDescent="0.25">
      <c r="A244" s="57">
        <v>11</v>
      </c>
      <c r="B244" s="54" t="s">
        <v>73</v>
      </c>
      <c r="C244" s="334" t="s">
        <v>12</v>
      </c>
      <c r="D244" s="334" t="s">
        <v>12</v>
      </c>
      <c r="E244" s="334" t="s">
        <v>12</v>
      </c>
      <c r="F244" s="334" t="s">
        <v>12</v>
      </c>
      <c r="G244" s="148" t="s">
        <v>12</v>
      </c>
      <c r="H244" s="137" t="s">
        <v>12</v>
      </c>
      <c r="I244" s="137" t="s">
        <v>12</v>
      </c>
      <c r="J244" s="177"/>
      <c r="K244" s="333"/>
      <c r="L244" s="333"/>
      <c r="M244" s="333"/>
      <c r="N244" s="333"/>
      <c r="O244" s="57">
        <v>11</v>
      </c>
      <c r="P244" s="54" t="s">
        <v>73</v>
      </c>
      <c r="Q244" s="334" t="s">
        <v>12</v>
      </c>
      <c r="R244" s="334" t="s">
        <v>12</v>
      </c>
      <c r="S244" s="334" t="s">
        <v>12</v>
      </c>
      <c r="T244" s="334" t="s">
        <v>12</v>
      </c>
      <c r="U244" s="148" t="s">
        <v>12</v>
      </c>
      <c r="V244" s="137" t="s">
        <v>12</v>
      </c>
      <c r="W244" s="137" t="s">
        <v>12</v>
      </c>
      <c r="X244" s="91"/>
    </row>
    <row r="245" spans="1:24" ht="24.95" customHeight="1" thickTop="1" thickBot="1" x14ac:dyDescent="0.25">
      <c r="A245" s="454" t="s">
        <v>13</v>
      </c>
      <c r="B245" s="455"/>
      <c r="C245" s="336">
        <f>SUM(C234:C244)</f>
        <v>133</v>
      </c>
      <c r="D245" s="337">
        <f>SUM(D234:D244)</f>
        <v>126</v>
      </c>
      <c r="E245" s="336">
        <f>SUM(E234:E244)</f>
        <v>44.8</v>
      </c>
      <c r="F245" s="338">
        <f>SUM(F234:F244)</f>
        <v>303.8</v>
      </c>
      <c r="G245" s="167">
        <f t="shared" si="60"/>
        <v>47.124000000000002</v>
      </c>
      <c r="H245" s="165">
        <v>374</v>
      </c>
      <c r="I245" s="168">
        <f>I234+I235+I236+I238+I239+I240+I241</f>
        <v>835</v>
      </c>
      <c r="J245" s="169"/>
      <c r="O245" s="454" t="s">
        <v>13</v>
      </c>
      <c r="P245" s="455"/>
      <c r="Q245" s="164">
        <f>SUM(Q234:Q244)</f>
        <v>138.80000000000001</v>
      </c>
      <c r="R245" s="165">
        <f>SUM(R234:R244)</f>
        <v>125</v>
      </c>
      <c r="S245" s="164">
        <f>SUM(S234:S244)</f>
        <v>42.8</v>
      </c>
      <c r="T245" s="166">
        <f>SUM(T234:T244)</f>
        <v>306.60000000000002</v>
      </c>
      <c r="U245" s="167">
        <f t="shared" ref="U245" si="66">V245/1000*R245</f>
        <v>46.75</v>
      </c>
      <c r="V245" s="165">
        <v>374</v>
      </c>
      <c r="W245" s="168">
        <v>837</v>
      </c>
      <c r="X245" s="67"/>
    </row>
    <row r="246" spans="1:24" ht="24.95" customHeight="1" thickTop="1" x14ac:dyDescent="0.2">
      <c r="C246" s="224">
        <f t="shared" ref="C246:J246" si="67">C245-Q245</f>
        <v>-5.8000000000000114</v>
      </c>
      <c r="D246" s="224">
        <f t="shared" si="67"/>
        <v>1</v>
      </c>
      <c r="E246" s="224">
        <f t="shared" si="67"/>
        <v>2</v>
      </c>
      <c r="F246" s="224">
        <f t="shared" si="67"/>
        <v>-2.8000000000000114</v>
      </c>
      <c r="G246" s="224">
        <f t="shared" si="67"/>
        <v>0.37400000000000233</v>
      </c>
      <c r="H246" s="224">
        <f t="shared" si="67"/>
        <v>0</v>
      </c>
      <c r="I246" s="224">
        <f t="shared" si="67"/>
        <v>-2</v>
      </c>
      <c r="J246" s="224">
        <f t="shared" si="67"/>
        <v>0</v>
      </c>
      <c r="W246" s="13"/>
    </row>
    <row r="247" spans="1:24" ht="24.95" customHeight="1" x14ac:dyDescent="0.2">
      <c r="B247" s="208" t="s">
        <v>4</v>
      </c>
      <c r="C247" s="209" t="s">
        <v>63</v>
      </c>
      <c r="D247" s="211"/>
      <c r="F247" s="21"/>
      <c r="G247" s="45"/>
      <c r="H247">
        <f>G245/D245*1000</f>
        <v>374</v>
      </c>
      <c r="P247" s="38"/>
      <c r="Q247" s="21"/>
      <c r="R247" s="21"/>
      <c r="S247" s="21"/>
      <c r="T247" s="21"/>
      <c r="U247" s="45" t="s">
        <v>112</v>
      </c>
    </row>
    <row r="248" spans="1:24" ht="24.95" customHeight="1" x14ac:dyDescent="0.2">
      <c r="B248" s="208" t="s">
        <v>5</v>
      </c>
      <c r="C248" s="209" t="s">
        <v>64</v>
      </c>
      <c r="D248" s="211"/>
      <c r="F248" s="13">
        <f>C245+D245+E245</f>
        <v>303.8</v>
      </c>
      <c r="G248" s="409"/>
      <c r="H248" s="410"/>
      <c r="I248" s="410"/>
      <c r="J248" s="410"/>
      <c r="U248" s="47" t="s">
        <v>38</v>
      </c>
      <c r="V248" s="46"/>
      <c r="W248" s="46"/>
      <c r="X248" s="46"/>
    </row>
    <row r="249" spans="1:24" ht="24.95" customHeight="1" x14ac:dyDescent="0.2">
      <c r="B249" s="208" t="s">
        <v>6</v>
      </c>
      <c r="C249" s="209" t="s">
        <v>65</v>
      </c>
      <c r="D249" s="211"/>
      <c r="G249" s="45"/>
      <c r="U249" s="45" t="s">
        <v>113</v>
      </c>
    </row>
    <row r="250" spans="1:24" ht="24.95" customHeight="1" x14ac:dyDescent="0.2">
      <c r="G250" s="409"/>
      <c r="H250" s="409"/>
      <c r="I250" s="409"/>
      <c r="J250" s="409"/>
      <c r="U250" s="409"/>
      <c r="V250" s="409"/>
      <c r="W250" s="409"/>
      <c r="X250" s="409"/>
    </row>
    <row r="251" spans="1:24" ht="24.95" customHeight="1" x14ac:dyDescent="0.2">
      <c r="G251" s="349"/>
      <c r="H251" s="349"/>
      <c r="I251" s="349"/>
      <c r="J251" s="349"/>
      <c r="U251" s="349"/>
      <c r="V251" s="349"/>
      <c r="W251" s="349"/>
      <c r="X251" s="349"/>
    </row>
    <row r="252" spans="1:24" ht="24.95" customHeight="1" x14ac:dyDescent="0.2">
      <c r="G252" s="410"/>
      <c r="H252" s="410"/>
      <c r="I252" s="410"/>
      <c r="J252" s="410"/>
      <c r="U252" s="410"/>
      <c r="V252" s="410"/>
      <c r="W252" s="410"/>
      <c r="X252" s="410"/>
    </row>
    <row r="253" spans="1:24" ht="15" customHeight="1" x14ac:dyDescent="0.2">
      <c r="G253" s="410"/>
      <c r="H253" s="410"/>
      <c r="I253" s="410"/>
      <c r="J253" s="410"/>
      <c r="U253" s="410"/>
      <c r="V253" s="410"/>
      <c r="W253" s="410"/>
      <c r="X253" s="410"/>
    </row>
    <row r="254" spans="1:24" ht="15" customHeight="1" x14ac:dyDescent="0.2"/>
    <row r="255" spans="1:24" ht="15" customHeight="1" x14ac:dyDescent="0.2"/>
    <row r="256" spans="1:24" ht="15" x14ac:dyDescent="0.25">
      <c r="G256" s="407"/>
      <c r="H256" s="407"/>
      <c r="I256" s="407"/>
      <c r="J256" s="407"/>
      <c r="U256" s="407"/>
      <c r="V256" s="407"/>
      <c r="W256" s="407"/>
      <c r="X256" s="407"/>
    </row>
    <row r="257" spans="1:24" x14ac:dyDescent="0.2">
      <c r="G257" s="410"/>
      <c r="H257" s="410"/>
      <c r="I257" s="410"/>
      <c r="J257" s="410"/>
      <c r="U257" s="410"/>
      <c r="V257" s="410"/>
      <c r="W257" s="410"/>
      <c r="X257" s="410"/>
    </row>
    <row r="258" spans="1:24" x14ac:dyDescent="0.2">
      <c r="G258" s="410"/>
      <c r="H258" s="410"/>
      <c r="I258" s="410"/>
      <c r="J258" s="410"/>
      <c r="U258" s="410"/>
      <c r="V258" s="410"/>
      <c r="W258" s="410"/>
      <c r="X258" s="410"/>
    </row>
    <row r="259" spans="1:24" x14ac:dyDescent="0.2">
      <c r="G259" s="349"/>
      <c r="H259" s="349"/>
      <c r="I259" s="349"/>
      <c r="J259" s="349"/>
      <c r="U259" s="349"/>
      <c r="V259" s="349"/>
      <c r="W259" s="349"/>
      <c r="X259" s="349"/>
    </row>
    <row r="260" spans="1:24" x14ac:dyDescent="0.2">
      <c r="G260" s="349"/>
      <c r="H260" s="349"/>
      <c r="I260" s="349"/>
      <c r="J260" s="349"/>
      <c r="U260" s="349"/>
      <c r="V260" s="349"/>
      <c r="W260" s="349"/>
      <c r="X260" s="349"/>
    </row>
    <row r="261" spans="1:24" x14ac:dyDescent="0.2">
      <c r="G261" s="349"/>
      <c r="H261" s="349"/>
      <c r="I261" s="349"/>
      <c r="J261" s="349"/>
      <c r="U261" s="349"/>
      <c r="V261" s="349"/>
      <c r="W261" s="349"/>
      <c r="X261" s="349"/>
    </row>
    <row r="262" spans="1:24" x14ac:dyDescent="0.2">
      <c r="G262" s="349"/>
      <c r="H262" s="349"/>
      <c r="I262" s="349"/>
      <c r="J262" s="349"/>
      <c r="U262" s="349"/>
      <c r="V262" s="349"/>
      <c r="W262" s="349"/>
      <c r="X262" s="349"/>
    </row>
    <row r="263" spans="1:24" x14ac:dyDescent="0.2">
      <c r="G263" s="349"/>
      <c r="H263" s="349"/>
      <c r="I263" s="349"/>
      <c r="J263" s="349"/>
      <c r="U263" s="349"/>
      <c r="V263" s="349"/>
      <c r="W263" s="349"/>
      <c r="X263" s="349"/>
    </row>
    <row r="264" spans="1:24" x14ac:dyDescent="0.2">
      <c r="G264" s="349"/>
      <c r="H264" s="349"/>
      <c r="I264" s="349"/>
      <c r="J264" s="349"/>
      <c r="U264" s="349"/>
      <c r="V264" s="349"/>
      <c r="W264" s="349"/>
      <c r="X264" s="349"/>
    </row>
    <row r="265" spans="1:24" x14ac:dyDescent="0.2">
      <c r="G265" s="349"/>
      <c r="H265" s="349"/>
      <c r="I265" s="349"/>
      <c r="J265" s="349"/>
      <c r="U265" s="349"/>
      <c r="V265" s="349"/>
      <c r="W265" s="349"/>
      <c r="X265" s="349"/>
    </row>
    <row r="266" spans="1:24" x14ac:dyDescent="0.2">
      <c r="G266" s="349"/>
      <c r="H266" s="349"/>
      <c r="I266" s="349"/>
      <c r="J266" s="349"/>
      <c r="U266" s="349"/>
      <c r="V266" s="349"/>
      <c r="W266" s="349"/>
      <c r="X266" s="349"/>
    </row>
    <row r="267" spans="1:24" x14ac:dyDescent="0.2">
      <c r="G267" s="349"/>
      <c r="H267" s="349"/>
      <c r="I267" s="349"/>
      <c r="J267" s="349"/>
      <c r="U267" s="349"/>
      <c r="V267" s="349"/>
      <c r="W267" s="349"/>
      <c r="X267" s="349"/>
    </row>
    <row r="268" spans="1:24" x14ac:dyDescent="0.2">
      <c r="G268" s="349"/>
      <c r="H268" s="349"/>
      <c r="I268" s="349"/>
      <c r="J268" s="349"/>
      <c r="U268" s="349"/>
      <c r="V268" s="349"/>
      <c r="W268" s="349"/>
      <c r="X268" s="349"/>
    </row>
    <row r="269" spans="1:24" x14ac:dyDescent="0.2">
      <c r="G269" s="349"/>
      <c r="H269" s="349"/>
      <c r="I269" s="349"/>
      <c r="J269" s="349"/>
      <c r="U269" s="349"/>
      <c r="V269" s="349"/>
      <c r="W269" s="349"/>
      <c r="X269" s="349"/>
    </row>
    <row r="270" spans="1:24" x14ac:dyDescent="0.2">
      <c r="G270" s="349"/>
      <c r="H270" s="349"/>
      <c r="I270" s="349"/>
      <c r="J270" s="349"/>
      <c r="U270" s="349"/>
      <c r="V270" s="349"/>
      <c r="W270" s="349"/>
      <c r="X270" s="349"/>
    </row>
    <row r="271" spans="1:24" ht="24.95" customHeight="1" x14ac:dyDescent="0.2">
      <c r="G271" s="349"/>
      <c r="H271" s="349"/>
      <c r="I271" s="349"/>
      <c r="J271" s="349"/>
      <c r="U271" s="349"/>
      <c r="V271" s="349"/>
      <c r="W271" s="349"/>
      <c r="X271" s="349"/>
    </row>
    <row r="272" spans="1:24" ht="24.95" customHeight="1" x14ac:dyDescent="0.3">
      <c r="A272" s="422" t="s">
        <v>51</v>
      </c>
      <c r="B272" s="422"/>
      <c r="C272" s="422"/>
      <c r="D272" s="422"/>
      <c r="E272" s="422"/>
      <c r="F272" s="422"/>
      <c r="G272" s="422"/>
      <c r="H272" s="422"/>
      <c r="I272" s="422"/>
      <c r="J272" s="422"/>
      <c r="O272" s="452" t="s">
        <v>51</v>
      </c>
      <c r="P272" s="452"/>
      <c r="Q272" s="452"/>
      <c r="R272" s="452"/>
      <c r="S272" s="452"/>
      <c r="T272" s="452"/>
      <c r="U272" s="452"/>
      <c r="V272" s="452"/>
      <c r="W272" s="452"/>
      <c r="X272" s="452"/>
    </row>
    <row r="273" spans="1:24" ht="24.95" customHeight="1" x14ac:dyDescent="0.3">
      <c r="A273" s="422" t="s">
        <v>53</v>
      </c>
      <c r="B273" s="422"/>
      <c r="C273" s="422"/>
      <c r="D273" s="422"/>
      <c r="E273" s="422"/>
      <c r="F273" s="422"/>
      <c r="G273" s="422"/>
      <c r="H273" s="422"/>
      <c r="I273" s="422"/>
      <c r="J273" s="422"/>
      <c r="O273" s="452" t="s">
        <v>53</v>
      </c>
      <c r="P273" s="452"/>
      <c r="Q273" s="452"/>
      <c r="R273" s="452"/>
      <c r="S273" s="452"/>
      <c r="T273" s="452"/>
      <c r="U273" s="452"/>
      <c r="V273" s="452"/>
      <c r="W273" s="452"/>
      <c r="X273" s="452"/>
    </row>
    <row r="274" spans="1:24" ht="24.95" customHeight="1" x14ac:dyDescent="0.3">
      <c r="A274" s="422" t="s">
        <v>114</v>
      </c>
      <c r="B274" s="422"/>
      <c r="C274" s="422"/>
      <c r="D274" s="422"/>
      <c r="E274" s="422"/>
      <c r="F274" s="422"/>
      <c r="G274" s="422"/>
      <c r="H274" s="422"/>
      <c r="I274" s="422"/>
      <c r="J274" s="422"/>
      <c r="O274" s="452" t="s">
        <v>52</v>
      </c>
      <c r="P274" s="452"/>
      <c r="Q274" s="452"/>
      <c r="R274" s="452"/>
      <c r="S274" s="452"/>
      <c r="T274" s="452"/>
      <c r="U274" s="452"/>
      <c r="V274" s="452"/>
      <c r="W274" s="452"/>
      <c r="X274" s="452"/>
    </row>
    <row r="275" spans="1:24" ht="24.95" customHeight="1" x14ac:dyDescent="0.3">
      <c r="A275" s="355"/>
      <c r="B275" s="355"/>
      <c r="C275" s="355"/>
      <c r="D275" s="355"/>
      <c r="E275" s="355"/>
      <c r="F275" s="355"/>
      <c r="G275" s="355"/>
      <c r="H275" s="355"/>
      <c r="I275" s="355"/>
      <c r="J275" s="355"/>
      <c r="O275" s="355"/>
      <c r="P275" s="355"/>
      <c r="Q275" s="355"/>
      <c r="R275" s="355"/>
      <c r="S275" s="355"/>
      <c r="T275" s="355"/>
      <c r="U275" s="355"/>
      <c r="V275" s="355"/>
      <c r="W275" s="355"/>
      <c r="X275" s="355"/>
    </row>
    <row r="276" spans="1:24" ht="24.95" customHeight="1" x14ac:dyDescent="0.2">
      <c r="A276" t="s">
        <v>0</v>
      </c>
      <c r="B276" s="211"/>
      <c r="C276" s="223" t="s">
        <v>20</v>
      </c>
      <c r="O276" t="s">
        <v>0</v>
      </c>
      <c r="Q276" t="s">
        <v>20</v>
      </c>
    </row>
    <row r="277" spans="1:24" ht="24.95" customHeight="1" thickBot="1" x14ac:dyDescent="0.25">
      <c r="A277" s="45"/>
      <c r="E277" s="45"/>
      <c r="O277" s="45"/>
      <c r="S277" s="45"/>
    </row>
    <row r="278" spans="1:24" ht="24.95" customHeight="1" thickTop="1" thickBot="1" x14ac:dyDescent="0.25">
      <c r="A278" s="1" t="s">
        <v>2</v>
      </c>
      <c r="B278" s="2" t="s">
        <v>3</v>
      </c>
      <c r="C278" s="2" t="s">
        <v>4</v>
      </c>
      <c r="D278" s="2" t="s">
        <v>5</v>
      </c>
      <c r="E278" s="2" t="s">
        <v>6</v>
      </c>
      <c r="F278" s="3" t="s">
        <v>43</v>
      </c>
      <c r="G278" s="3" t="s">
        <v>8</v>
      </c>
      <c r="H278" s="3" t="s">
        <v>9</v>
      </c>
      <c r="I278" s="3" t="s">
        <v>10</v>
      </c>
      <c r="J278" s="4" t="s">
        <v>11</v>
      </c>
      <c r="L278" s="370" t="s">
        <v>48</v>
      </c>
      <c r="O278" s="1" t="s">
        <v>2</v>
      </c>
      <c r="P278" s="2" t="s">
        <v>3</v>
      </c>
      <c r="Q278" s="2" t="s">
        <v>4</v>
      </c>
      <c r="R278" s="2" t="s">
        <v>5</v>
      </c>
      <c r="S278" s="2" t="s">
        <v>6</v>
      </c>
      <c r="T278" s="3" t="s">
        <v>43</v>
      </c>
      <c r="U278" s="3" t="s">
        <v>8</v>
      </c>
      <c r="V278" s="3" t="s">
        <v>9</v>
      </c>
      <c r="W278" s="3" t="s">
        <v>10</v>
      </c>
      <c r="X278" s="4" t="s">
        <v>11</v>
      </c>
    </row>
    <row r="279" spans="1:24" ht="24.95" customHeight="1" thickTop="1" thickBot="1" x14ac:dyDescent="0.3">
      <c r="A279" s="5">
        <v>1</v>
      </c>
      <c r="B279" s="6">
        <v>2</v>
      </c>
      <c r="C279" s="6">
        <v>3</v>
      </c>
      <c r="D279" s="6">
        <v>4</v>
      </c>
      <c r="E279" s="6">
        <v>5</v>
      </c>
      <c r="F279" s="6">
        <v>6</v>
      </c>
      <c r="G279" s="6">
        <v>7</v>
      </c>
      <c r="H279" s="6">
        <v>8</v>
      </c>
      <c r="I279" s="6">
        <v>9</v>
      </c>
      <c r="J279" s="7">
        <v>10</v>
      </c>
      <c r="O279" s="5">
        <v>1</v>
      </c>
      <c r="P279" s="6">
        <v>2</v>
      </c>
      <c r="Q279" s="6">
        <v>3</v>
      </c>
      <c r="R279" s="6">
        <v>4</v>
      </c>
      <c r="S279" s="6">
        <v>5</v>
      </c>
      <c r="T279" s="6">
        <v>6</v>
      </c>
      <c r="U279" s="6">
        <v>7</v>
      </c>
      <c r="V279" s="6">
        <v>8</v>
      </c>
      <c r="W279" s="6">
        <v>9</v>
      </c>
      <c r="X279" s="7">
        <v>10</v>
      </c>
    </row>
    <row r="280" spans="1:24" ht="24.95" customHeight="1" thickTop="1" x14ac:dyDescent="0.2">
      <c r="A280" s="55">
        <v>1</v>
      </c>
      <c r="B280" s="50" t="s">
        <v>82</v>
      </c>
      <c r="C280" s="148" t="s">
        <v>12</v>
      </c>
      <c r="D280" s="146" t="s">
        <v>12</v>
      </c>
      <c r="E280" s="127" t="s">
        <v>12</v>
      </c>
      <c r="F280" s="146" t="s">
        <v>12</v>
      </c>
      <c r="G280" s="144" t="s">
        <v>12</v>
      </c>
      <c r="H280" s="127" t="s">
        <v>12</v>
      </c>
      <c r="I280" s="127" t="s">
        <v>12</v>
      </c>
      <c r="J280" s="176"/>
      <c r="O280" s="55">
        <v>1</v>
      </c>
      <c r="P280" s="50" t="s">
        <v>82</v>
      </c>
      <c r="Q280" s="148" t="s">
        <v>12</v>
      </c>
      <c r="R280" s="146" t="s">
        <v>12</v>
      </c>
      <c r="S280" s="127" t="s">
        <v>12</v>
      </c>
      <c r="T280" s="146" t="s">
        <v>12</v>
      </c>
      <c r="U280" s="144" t="s">
        <v>12</v>
      </c>
      <c r="V280" s="127" t="s">
        <v>12</v>
      </c>
      <c r="W280" s="127" t="s">
        <v>12</v>
      </c>
      <c r="X280" s="96"/>
    </row>
    <row r="281" spans="1:24" ht="24.95" customHeight="1" x14ac:dyDescent="0.2">
      <c r="A281" s="56">
        <v>2</v>
      </c>
      <c r="B281" s="51" t="s">
        <v>61</v>
      </c>
      <c r="C281" s="143" t="s">
        <v>12</v>
      </c>
      <c r="D281" s="143" t="s">
        <v>12</v>
      </c>
      <c r="E281" s="143" t="s">
        <v>12</v>
      </c>
      <c r="F281" s="143" t="s">
        <v>12</v>
      </c>
      <c r="G281" s="187" t="s">
        <v>12</v>
      </c>
      <c r="H281" s="143" t="s">
        <v>12</v>
      </c>
      <c r="I281" s="143" t="s">
        <v>12</v>
      </c>
      <c r="J281" s="177"/>
      <c r="O281" s="56">
        <v>2</v>
      </c>
      <c r="P281" s="51" t="s">
        <v>61</v>
      </c>
      <c r="Q281" s="143" t="s">
        <v>12</v>
      </c>
      <c r="R281" s="143" t="s">
        <v>12</v>
      </c>
      <c r="S281" s="143" t="s">
        <v>12</v>
      </c>
      <c r="T281" s="143" t="s">
        <v>12</v>
      </c>
      <c r="U281" s="187" t="s">
        <v>12</v>
      </c>
      <c r="V281" s="143" t="s">
        <v>12</v>
      </c>
      <c r="W281" s="143" t="s">
        <v>12</v>
      </c>
      <c r="X281" s="90"/>
    </row>
    <row r="282" spans="1:24" ht="24.95" customHeight="1" x14ac:dyDescent="0.2">
      <c r="A282" s="57">
        <v>3</v>
      </c>
      <c r="B282" s="52" t="s">
        <v>75</v>
      </c>
      <c r="C282" s="188">
        <v>0</v>
      </c>
      <c r="D282" s="189">
        <v>0</v>
      </c>
      <c r="E282" s="190">
        <v>0</v>
      </c>
      <c r="F282" s="191">
        <v>0</v>
      </c>
      <c r="G282" s="192">
        <f>H282/1000*D282</f>
        <v>0</v>
      </c>
      <c r="H282" s="188">
        <v>0</v>
      </c>
      <c r="I282" s="193">
        <v>0</v>
      </c>
      <c r="J282" s="177"/>
      <c r="O282" s="57">
        <v>3</v>
      </c>
      <c r="P282" s="52" t="s">
        <v>75</v>
      </c>
      <c r="Q282" s="188">
        <v>0</v>
      </c>
      <c r="R282" s="189">
        <v>0</v>
      </c>
      <c r="S282" s="190">
        <v>0</v>
      </c>
      <c r="T282" s="191">
        <v>0</v>
      </c>
      <c r="U282" s="192">
        <f>V282/1000*R282</f>
        <v>0</v>
      </c>
      <c r="V282" s="188">
        <v>0</v>
      </c>
      <c r="W282" s="193">
        <v>0</v>
      </c>
      <c r="X282" s="90"/>
    </row>
    <row r="283" spans="1:24" ht="24.95" customHeight="1" x14ac:dyDescent="0.2">
      <c r="A283" s="57">
        <v>4</v>
      </c>
      <c r="B283" s="52" t="s">
        <v>68</v>
      </c>
      <c r="C283" s="143">
        <v>0</v>
      </c>
      <c r="D283" s="143">
        <v>0</v>
      </c>
      <c r="E283" s="143" t="s">
        <v>12</v>
      </c>
      <c r="F283" s="143" t="s">
        <v>12</v>
      </c>
      <c r="G283" s="143" t="s">
        <v>12</v>
      </c>
      <c r="H283" s="143" t="s">
        <v>12</v>
      </c>
      <c r="I283" s="143" t="s">
        <v>12</v>
      </c>
      <c r="J283" s="177"/>
      <c r="O283" s="57">
        <v>4</v>
      </c>
      <c r="P283" s="52" t="s">
        <v>68</v>
      </c>
      <c r="Q283" s="143">
        <v>0</v>
      </c>
      <c r="R283" s="143">
        <v>0</v>
      </c>
      <c r="S283" s="143" t="s">
        <v>12</v>
      </c>
      <c r="T283" s="143" t="s">
        <v>12</v>
      </c>
      <c r="U283" s="143" t="s">
        <v>12</v>
      </c>
      <c r="V283" s="143" t="s">
        <v>12</v>
      </c>
      <c r="W283" s="143" t="s">
        <v>12</v>
      </c>
      <c r="X283" s="90"/>
    </row>
    <row r="284" spans="1:24" ht="24.95" customHeight="1" x14ac:dyDescent="0.2">
      <c r="A284" s="57">
        <v>5</v>
      </c>
      <c r="B284" s="53" t="s">
        <v>66</v>
      </c>
      <c r="C284" s="143">
        <v>0</v>
      </c>
      <c r="D284" s="143">
        <v>0</v>
      </c>
      <c r="E284" s="143" t="s">
        <v>12</v>
      </c>
      <c r="F284" s="143" t="s">
        <v>12</v>
      </c>
      <c r="G284" s="143" t="s">
        <v>12</v>
      </c>
      <c r="H284" s="143" t="s">
        <v>12</v>
      </c>
      <c r="I284" s="143" t="s">
        <v>12</v>
      </c>
      <c r="J284" s="177"/>
      <c r="O284" s="57">
        <v>5</v>
      </c>
      <c r="P284" s="53" t="s">
        <v>66</v>
      </c>
      <c r="Q284" s="143">
        <v>0</v>
      </c>
      <c r="R284" s="143">
        <v>0</v>
      </c>
      <c r="S284" s="143" t="s">
        <v>12</v>
      </c>
      <c r="T284" s="143" t="s">
        <v>12</v>
      </c>
      <c r="U284" s="143" t="s">
        <v>12</v>
      </c>
      <c r="V284" s="143" t="s">
        <v>12</v>
      </c>
      <c r="W284" s="143" t="s">
        <v>12</v>
      </c>
      <c r="X284" s="90"/>
    </row>
    <row r="285" spans="1:24" ht="24.95" customHeight="1" x14ac:dyDescent="0.2">
      <c r="A285" s="57">
        <v>6</v>
      </c>
      <c r="B285" s="52" t="s">
        <v>67</v>
      </c>
      <c r="C285" s="143">
        <v>0</v>
      </c>
      <c r="D285" s="143">
        <v>0</v>
      </c>
      <c r="E285" s="143" t="s">
        <v>12</v>
      </c>
      <c r="F285" s="143" t="s">
        <v>12</v>
      </c>
      <c r="G285" s="143" t="s">
        <v>12</v>
      </c>
      <c r="H285" s="143" t="s">
        <v>12</v>
      </c>
      <c r="I285" s="143" t="s">
        <v>12</v>
      </c>
      <c r="J285" s="177"/>
      <c r="O285" s="57">
        <v>6</v>
      </c>
      <c r="P285" s="52" t="s">
        <v>67</v>
      </c>
      <c r="Q285" s="143">
        <v>0</v>
      </c>
      <c r="R285" s="143">
        <v>0</v>
      </c>
      <c r="S285" s="143" t="s">
        <v>12</v>
      </c>
      <c r="T285" s="143" t="s">
        <v>12</v>
      </c>
      <c r="U285" s="143" t="s">
        <v>12</v>
      </c>
      <c r="V285" s="143" t="s">
        <v>12</v>
      </c>
      <c r="W285" s="143" t="s">
        <v>12</v>
      </c>
      <c r="X285" s="90"/>
    </row>
    <row r="286" spans="1:24" ht="24.95" customHeight="1" x14ac:dyDescent="0.2">
      <c r="A286" s="57">
        <v>7</v>
      </c>
      <c r="B286" s="52" t="s">
        <v>69</v>
      </c>
      <c r="C286" s="143">
        <v>0</v>
      </c>
      <c r="D286" s="143">
        <v>0</v>
      </c>
      <c r="E286" s="143" t="s">
        <v>12</v>
      </c>
      <c r="F286" s="143" t="s">
        <v>12</v>
      </c>
      <c r="G286" s="143" t="s">
        <v>12</v>
      </c>
      <c r="H286" s="143" t="s">
        <v>12</v>
      </c>
      <c r="I286" s="143" t="s">
        <v>12</v>
      </c>
      <c r="J286" s="177"/>
      <c r="O286" s="57">
        <v>7</v>
      </c>
      <c r="P286" s="52" t="s">
        <v>69</v>
      </c>
      <c r="Q286" s="143">
        <v>0</v>
      </c>
      <c r="R286" s="143">
        <v>0</v>
      </c>
      <c r="S286" s="143" t="s">
        <v>12</v>
      </c>
      <c r="T286" s="143" t="s">
        <v>12</v>
      </c>
      <c r="U286" s="143" t="s">
        <v>12</v>
      </c>
      <c r="V286" s="143" t="s">
        <v>12</v>
      </c>
      <c r="W286" s="143" t="s">
        <v>12</v>
      </c>
      <c r="X286" s="90"/>
    </row>
    <row r="287" spans="1:24" ht="24.95" customHeight="1" x14ac:dyDescent="0.2">
      <c r="A287" s="57">
        <v>8</v>
      </c>
      <c r="B287" s="52" t="s">
        <v>70</v>
      </c>
      <c r="C287" s="143">
        <v>0</v>
      </c>
      <c r="D287" s="143">
        <v>0</v>
      </c>
      <c r="E287" s="143" t="s">
        <v>12</v>
      </c>
      <c r="F287" s="143" t="s">
        <v>12</v>
      </c>
      <c r="G287" s="143" t="s">
        <v>12</v>
      </c>
      <c r="H287" s="143" t="s">
        <v>12</v>
      </c>
      <c r="I287" s="143" t="s">
        <v>12</v>
      </c>
      <c r="J287" s="177"/>
      <c r="O287" s="57">
        <v>8</v>
      </c>
      <c r="P287" s="52" t="s">
        <v>70</v>
      </c>
      <c r="Q287" s="143">
        <v>0</v>
      </c>
      <c r="R287" s="143">
        <v>0</v>
      </c>
      <c r="S287" s="143" t="s">
        <v>12</v>
      </c>
      <c r="T287" s="143" t="s">
        <v>12</v>
      </c>
      <c r="U287" s="143" t="s">
        <v>12</v>
      </c>
      <c r="V287" s="143" t="s">
        <v>12</v>
      </c>
      <c r="W287" s="143" t="s">
        <v>12</v>
      </c>
      <c r="X287" s="90"/>
    </row>
    <row r="288" spans="1:24" ht="24.95" customHeight="1" x14ac:dyDescent="0.2">
      <c r="A288" s="57">
        <v>9</v>
      </c>
      <c r="B288" s="52" t="s">
        <v>71</v>
      </c>
      <c r="C288" s="148" t="s">
        <v>12</v>
      </c>
      <c r="D288" s="148" t="s">
        <v>12</v>
      </c>
      <c r="E288" s="143">
        <v>0</v>
      </c>
      <c r="F288" s="148" t="s">
        <v>12</v>
      </c>
      <c r="G288" s="149" t="s">
        <v>12</v>
      </c>
      <c r="H288" s="137" t="s">
        <v>12</v>
      </c>
      <c r="I288" s="137" t="s">
        <v>12</v>
      </c>
      <c r="J288" s="177"/>
      <c r="O288" s="57">
        <v>9</v>
      </c>
      <c r="P288" s="52" t="s">
        <v>71</v>
      </c>
      <c r="Q288" s="148" t="s">
        <v>12</v>
      </c>
      <c r="R288" s="148" t="s">
        <v>12</v>
      </c>
      <c r="S288" s="143">
        <v>0</v>
      </c>
      <c r="T288" s="148" t="s">
        <v>12</v>
      </c>
      <c r="U288" s="149" t="s">
        <v>12</v>
      </c>
      <c r="V288" s="137" t="s">
        <v>12</v>
      </c>
      <c r="W288" s="137" t="s">
        <v>12</v>
      </c>
      <c r="X288" s="90"/>
    </row>
    <row r="289" spans="1:24" ht="24.95" customHeight="1" x14ac:dyDescent="0.2">
      <c r="A289" s="57">
        <v>10</v>
      </c>
      <c r="B289" s="52" t="s">
        <v>72</v>
      </c>
      <c r="C289" s="143">
        <v>0</v>
      </c>
      <c r="D289" s="143">
        <v>0</v>
      </c>
      <c r="E289" s="143" t="s">
        <v>12</v>
      </c>
      <c r="F289" s="143" t="s">
        <v>12</v>
      </c>
      <c r="G289" s="194" t="s">
        <v>12</v>
      </c>
      <c r="H289" s="143">
        <v>0</v>
      </c>
      <c r="I289" s="143" t="s">
        <v>12</v>
      </c>
      <c r="J289" s="177"/>
      <c r="O289" s="57">
        <v>10</v>
      </c>
      <c r="P289" s="52" t="s">
        <v>72</v>
      </c>
      <c r="Q289" s="143">
        <v>0</v>
      </c>
      <c r="R289" s="143">
        <v>0</v>
      </c>
      <c r="S289" s="143" t="s">
        <v>12</v>
      </c>
      <c r="T289" s="143" t="s">
        <v>12</v>
      </c>
      <c r="U289" s="194" t="s">
        <v>12</v>
      </c>
      <c r="V289" s="143">
        <v>0</v>
      </c>
      <c r="W289" s="143" t="s">
        <v>12</v>
      </c>
      <c r="X289" s="90"/>
    </row>
    <row r="290" spans="1:24" ht="24.95" customHeight="1" thickBot="1" x14ac:dyDescent="0.25">
      <c r="A290" s="57">
        <v>11</v>
      </c>
      <c r="B290" s="379" t="s">
        <v>73</v>
      </c>
      <c r="C290" s="148">
        <v>6</v>
      </c>
      <c r="D290" s="147">
        <v>6</v>
      </c>
      <c r="E290" s="137" t="s">
        <v>12</v>
      </c>
      <c r="F290" s="147">
        <f>C290</f>
        <v>6</v>
      </c>
      <c r="G290" s="154">
        <f>H290/1000*D290</f>
        <v>1.0979999999999999</v>
      </c>
      <c r="H290" s="143">
        <v>183</v>
      </c>
      <c r="I290" s="127">
        <v>8</v>
      </c>
      <c r="J290" s="177"/>
      <c r="O290" s="57">
        <v>11</v>
      </c>
      <c r="P290" s="54" t="s">
        <v>73</v>
      </c>
      <c r="Q290" s="148">
        <v>6</v>
      </c>
      <c r="R290" s="147">
        <v>6</v>
      </c>
      <c r="S290" s="137" t="s">
        <v>12</v>
      </c>
      <c r="T290" s="147">
        <f>Q290</f>
        <v>6</v>
      </c>
      <c r="U290" s="154">
        <f>V290/1000*R290</f>
        <v>1.0979999999999999</v>
      </c>
      <c r="V290" s="143">
        <v>183</v>
      </c>
      <c r="W290" s="127">
        <v>8</v>
      </c>
      <c r="X290" s="90"/>
    </row>
    <row r="291" spans="1:24" ht="24.95" customHeight="1" thickTop="1" thickBot="1" x14ac:dyDescent="0.25">
      <c r="A291" s="454" t="s">
        <v>13</v>
      </c>
      <c r="B291" s="455"/>
      <c r="C291" s="358">
        <f>SUM(C280:C290)</f>
        <v>6</v>
      </c>
      <c r="D291" s="195">
        <f>SUM(D280:D290)</f>
        <v>6</v>
      </c>
      <c r="E291" s="166">
        <f>SUM(E280:E290)</f>
        <v>0</v>
      </c>
      <c r="F291" s="359">
        <f>SUM(F280:F290)</f>
        <v>6</v>
      </c>
      <c r="G291" s="185">
        <f>SUM(G280:G290)</f>
        <v>1.0979999999999999</v>
      </c>
      <c r="H291" s="165">
        <f>H290</f>
        <v>183</v>
      </c>
      <c r="I291" s="168">
        <f>SUM(I280:I290)</f>
        <v>8</v>
      </c>
      <c r="J291" s="169"/>
      <c r="O291" s="454" t="s">
        <v>13</v>
      </c>
      <c r="P291" s="455"/>
      <c r="Q291" s="358">
        <f>SUM(Q280:Q290)</f>
        <v>6</v>
      </c>
      <c r="R291" s="195">
        <f>SUM(R280:R290)</f>
        <v>6</v>
      </c>
      <c r="S291" s="166">
        <f>SUM(S280:S290)</f>
        <v>0</v>
      </c>
      <c r="T291" s="359">
        <f>SUM(T280:T290)</f>
        <v>6</v>
      </c>
      <c r="U291" s="185">
        <f>SUM(U280:U290)</f>
        <v>1.0979999999999999</v>
      </c>
      <c r="V291" s="165">
        <f>V290</f>
        <v>183</v>
      </c>
      <c r="W291" s="168">
        <f>SUM(W280:W290)</f>
        <v>8</v>
      </c>
      <c r="X291" s="12"/>
    </row>
    <row r="292" spans="1:24" ht="24.95" customHeight="1" thickTop="1" x14ac:dyDescent="0.2">
      <c r="C292" s="13">
        <f t="shared" ref="C292:I292" si="68">C291-Q291</f>
        <v>0</v>
      </c>
      <c r="D292" s="13">
        <f t="shared" si="68"/>
        <v>0</v>
      </c>
      <c r="E292" s="13">
        <f t="shared" si="68"/>
        <v>0</v>
      </c>
      <c r="F292" s="13">
        <f t="shared" si="68"/>
        <v>0</v>
      </c>
      <c r="G292" s="13">
        <f t="shared" si="68"/>
        <v>0</v>
      </c>
      <c r="H292" s="13">
        <f t="shared" si="68"/>
        <v>0</v>
      </c>
      <c r="I292" s="13">
        <f t="shared" si="68"/>
        <v>0</v>
      </c>
    </row>
    <row r="293" spans="1:24" ht="24.95" customHeight="1" x14ac:dyDescent="0.2">
      <c r="B293" s="208" t="s">
        <v>4</v>
      </c>
      <c r="C293" s="209" t="s">
        <v>63</v>
      </c>
      <c r="D293" s="211"/>
      <c r="E293" s="211"/>
      <c r="G293" s="45"/>
      <c r="H293">
        <f>G291/D291*1000</f>
        <v>182.99999999999997</v>
      </c>
      <c r="U293" s="45" t="s">
        <v>39</v>
      </c>
    </row>
    <row r="294" spans="1:24" ht="24.95" customHeight="1" x14ac:dyDescent="0.2">
      <c r="B294" s="208" t="s">
        <v>5</v>
      </c>
      <c r="C294" s="209" t="s">
        <v>64</v>
      </c>
      <c r="D294" s="211"/>
      <c r="E294" s="211"/>
      <c r="G294" s="409"/>
      <c r="H294" s="410"/>
      <c r="I294" s="410"/>
      <c r="J294" s="410"/>
      <c r="U294" s="409" t="s">
        <v>38</v>
      </c>
      <c r="V294" s="410"/>
      <c r="W294" s="410"/>
      <c r="X294" s="410"/>
    </row>
    <row r="295" spans="1:24" ht="24.95" customHeight="1" x14ac:dyDescent="0.2">
      <c r="B295" s="208" t="s">
        <v>6</v>
      </c>
      <c r="C295" s="209" t="s">
        <v>65</v>
      </c>
      <c r="D295" s="211"/>
      <c r="E295" s="211"/>
      <c r="G295" s="45"/>
      <c r="U295" s="45" t="s">
        <v>40</v>
      </c>
    </row>
    <row r="296" spans="1:24" ht="24.95" customHeight="1" x14ac:dyDescent="0.2">
      <c r="G296" s="409"/>
      <c r="H296" s="409"/>
      <c r="I296" s="409"/>
      <c r="J296" s="409"/>
      <c r="U296" s="409"/>
      <c r="V296" s="409"/>
      <c r="W296" s="409"/>
      <c r="X296" s="409"/>
    </row>
    <row r="297" spans="1:24" ht="24.95" customHeight="1" x14ac:dyDescent="0.2">
      <c r="G297" s="349"/>
      <c r="H297" s="349"/>
      <c r="I297" s="349"/>
      <c r="J297" s="349"/>
      <c r="U297" s="349"/>
      <c r="V297" s="349"/>
      <c r="W297" s="349"/>
      <c r="X297" s="349"/>
    </row>
    <row r="298" spans="1:24" ht="24.95" customHeight="1" x14ac:dyDescent="0.2">
      <c r="G298" s="410"/>
      <c r="H298" s="410"/>
      <c r="I298" s="410"/>
      <c r="J298" s="410"/>
      <c r="U298" s="410"/>
      <c r="V298" s="410"/>
      <c r="W298" s="410"/>
      <c r="X298" s="410"/>
    </row>
    <row r="299" spans="1:24" ht="24.95" customHeight="1" x14ac:dyDescent="0.2">
      <c r="G299" s="410"/>
      <c r="H299" s="410"/>
      <c r="I299" s="410"/>
      <c r="J299" s="410"/>
      <c r="U299" s="410"/>
      <c r="V299" s="410"/>
      <c r="W299" s="410"/>
      <c r="X299" s="410"/>
    </row>
    <row r="300" spans="1:24" ht="24.95" customHeight="1" x14ac:dyDescent="0.2"/>
    <row r="302" spans="1:24" ht="15" x14ac:dyDescent="0.25">
      <c r="G302" s="407"/>
      <c r="H302" s="407"/>
      <c r="I302" s="407"/>
      <c r="J302" s="407"/>
      <c r="U302" s="407"/>
      <c r="V302" s="407"/>
      <c r="W302" s="407"/>
      <c r="X302" s="407"/>
    </row>
    <row r="303" spans="1:24" x14ac:dyDescent="0.2">
      <c r="G303" s="410"/>
      <c r="H303" s="410"/>
      <c r="I303" s="410"/>
      <c r="J303" s="410"/>
      <c r="U303" s="410"/>
      <c r="V303" s="410"/>
      <c r="W303" s="410"/>
      <c r="X303" s="410"/>
    </row>
    <row r="304" spans="1:24" x14ac:dyDescent="0.2">
      <c r="G304" s="410"/>
      <c r="H304" s="410"/>
      <c r="I304" s="410"/>
      <c r="J304" s="410"/>
      <c r="U304" s="410"/>
      <c r="V304" s="410"/>
      <c r="W304" s="410"/>
      <c r="X304" s="410"/>
    </row>
    <row r="305" spans="1:24" x14ac:dyDescent="0.2">
      <c r="G305" s="349"/>
      <c r="H305" s="349"/>
      <c r="I305" s="349"/>
      <c r="J305" s="349"/>
      <c r="U305" s="349"/>
      <c r="V305" s="349"/>
      <c r="W305" s="349"/>
      <c r="X305" s="349"/>
    </row>
    <row r="306" spans="1:24" x14ac:dyDescent="0.2">
      <c r="G306" s="349"/>
      <c r="H306" s="349"/>
      <c r="I306" s="349"/>
      <c r="J306" s="349"/>
      <c r="U306" s="349"/>
      <c r="V306" s="349"/>
      <c r="W306" s="349"/>
      <c r="X306" s="349"/>
    </row>
    <row r="307" spans="1:24" x14ac:dyDescent="0.2">
      <c r="G307" s="349"/>
      <c r="H307" s="349"/>
      <c r="I307" s="349"/>
      <c r="J307" s="349"/>
      <c r="U307" s="349"/>
      <c r="V307" s="349"/>
      <c r="W307" s="349"/>
      <c r="X307" s="349"/>
    </row>
    <row r="308" spans="1:24" x14ac:dyDescent="0.2">
      <c r="G308" s="349"/>
      <c r="H308" s="349"/>
      <c r="I308" s="349"/>
      <c r="J308" s="349"/>
      <c r="U308" s="349"/>
      <c r="V308" s="349"/>
      <c r="W308" s="349"/>
      <c r="X308" s="349"/>
    </row>
    <row r="309" spans="1:24" x14ac:dyDescent="0.2">
      <c r="G309" s="349"/>
      <c r="H309" s="349"/>
      <c r="I309" s="349"/>
      <c r="J309" s="349"/>
      <c r="U309" s="349"/>
      <c r="V309" s="349"/>
      <c r="W309" s="349"/>
      <c r="X309" s="349"/>
    </row>
    <row r="310" spans="1:24" x14ac:dyDescent="0.2">
      <c r="G310" s="349"/>
      <c r="H310" s="349"/>
      <c r="I310" s="349"/>
      <c r="J310" s="349"/>
      <c r="U310" s="349"/>
      <c r="V310" s="349"/>
      <c r="W310" s="349"/>
      <c r="X310" s="349"/>
    </row>
    <row r="311" spans="1:24" x14ac:dyDescent="0.2">
      <c r="G311" s="349"/>
      <c r="H311" s="349"/>
      <c r="I311" s="349"/>
      <c r="J311" s="349"/>
      <c r="U311" s="349"/>
      <c r="V311" s="349"/>
      <c r="W311" s="349"/>
      <c r="X311" s="349"/>
    </row>
    <row r="312" spans="1:24" x14ac:dyDescent="0.2">
      <c r="G312" s="349"/>
      <c r="H312" s="349"/>
      <c r="I312" s="349"/>
      <c r="J312" s="349"/>
      <c r="U312" s="349"/>
      <c r="V312" s="349"/>
      <c r="W312" s="349"/>
      <c r="X312" s="349"/>
    </row>
    <row r="313" spans="1:24" x14ac:dyDescent="0.2">
      <c r="G313" s="349"/>
      <c r="H313" s="349"/>
      <c r="I313" s="349"/>
      <c r="J313" s="349"/>
      <c r="U313" s="349"/>
      <c r="V313" s="349"/>
      <c r="W313" s="349"/>
      <c r="X313" s="349"/>
    </row>
    <row r="314" spans="1:24" x14ac:dyDescent="0.2">
      <c r="G314" s="349"/>
      <c r="H314" s="349"/>
      <c r="I314" s="349"/>
      <c r="J314" s="349"/>
      <c r="U314" s="349"/>
      <c r="V314" s="349"/>
      <c r="W314" s="349"/>
      <c r="X314" s="349"/>
    </row>
    <row r="315" spans="1:24" x14ac:dyDescent="0.2">
      <c r="G315" s="349"/>
      <c r="H315" s="349"/>
      <c r="I315" s="349"/>
      <c r="J315" s="349"/>
      <c r="U315" s="349"/>
      <c r="V315" s="349"/>
      <c r="W315" s="349"/>
      <c r="X315" s="349"/>
    </row>
    <row r="316" spans="1:24" x14ac:dyDescent="0.2">
      <c r="G316" s="349"/>
      <c r="H316" s="349"/>
      <c r="I316" s="349"/>
      <c r="J316" s="349"/>
      <c r="U316" s="349"/>
      <c r="V316" s="349"/>
      <c r="W316" s="349"/>
      <c r="X316" s="349"/>
    </row>
    <row r="317" spans="1:24" ht="24.95" customHeight="1" x14ac:dyDescent="0.3">
      <c r="A317" s="422" t="s">
        <v>51</v>
      </c>
      <c r="B317" s="422"/>
      <c r="C317" s="422"/>
      <c r="D317" s="422"/>
      <c r="E317" s="422"/>
      <c r="F317" s="422"/>
      <c r="G317" s="422"/>
      <c r="H317" s="422"/>
      <c r="I317" s="422"/>
      <c r="J317" s="422"/>
      <c r="O317" s="452" t="s">
        <v>51</v>
      </c>
      <c r="P317" s="452"/>
      <c r="Q317" s="452"/>
      <c r="R317" s="452"/>
      <c r="S317" s="452"/>
      <c r="T317" s="452"/>
      <c r="U317" s="452"/>
      <c r="V317" s="452"/>
      <c r="W317" s="452"/>
      <c r="X317" s="452"/>
    </row>
    <row r="318" spans="1:24" ht="24.95" customHeight="1" x14ac:dyDescent="0.3">
      <c r="A318" s="422" t="s">
        <v>53</v>
      </c>
      <c r="B318" s="422"/>
      <c r="C318" s="422"/>
      <c r="D318" s="422"/>
      <c r="E318" s="422"/>
      <c r="F318" s="422"/>
      <c r="G318" s="422"/>
      <c r="H318" s="422"/>
      <c r="I318" s="422"/>
      <c r="J318" s="422"/>
      <c r="O318" s="452" t="s">
        <v>53</v>
      </c>
      <c r="P318" s="452"/>
      <c r="Q318" s="452"/>
      <c r="R318" s="452"/>
      <c r="S318" s="452"/>
      <c r="T318" s="452"/>
      <c r="U318" s="452"/>
      <c r="V318" s="452"/>
      <c r="W318" s="452"/>
      <c r="X318" s="452"/>
    </row>
    <row r="319" spans="1:24" ht="24.95" customHeight="1" x14ac:dyDescent="0.3">
      <c r="A319" s="422" t="s">
        <v>114</v>
      </c>
      <c r="B319" s="422"/>
      <c r="C319" s="422"/>
      <c r="D319" s="422"/>
      <c r="E319" s="422"/>
      <c r="F319" s="422"/>
      <c r="G319" s="422"/>
      <c r="H319" s="422"/>
      <c r="I319" s="422"/>
      <c r="J319" s="422"/>
      <c r="O319" s="452" t="s">
        <v>52</v>
      </c>
      <c r="P319" s="452"/>
      <c r="Q319" s="452"/>
      <c r="R319" s="452"/>
      <c r="S319" s="452"/>
      <c r="T319" s="452"/>
      <c r="U319" s="452"/>
      <c r="V319" s="452"/>
      <c r="W319" s="452"/>
      <c r="X319" s="452"/>
    </row>
    <row r="320" spans="1:24" ht="24.95" customHeight="1" x14ac:dyDescent="0.3">
      <c r="A320" s="355"/>
      <c r="B320" s="355"/>
      <c r="C320" s="355"/>
      <c r="D320" s="355"/>
      <c r="E320" s="355"/>
      <c r="F320" s="355"/>
      <c r="G320" s="355"/>
      <c r="H320" s="355"/>
      <c r="I320" s="355"/>
      <c r="J320" s="355"/>
      <c r="O320" s="355"/>
      <c r="P320" s="355"/>
      <c r="Q320" s="355"/>
      <c r="R320" s="355"/>
      <c r="S320" s="355"/>
      <c r="T320" s="355"/>
      <c r="U320" s="355"/>
      <c r="V320" s="355"/>
      <c r="W320" s="355"/>
      <c r="X320" s="355"/>
    </row>
    <row r="321" spans="1:24" ht="24.95" customHeight="1" x14ac:dyDescent="0.2">
      <c r="A321" t="s">
        <v>0</v>
      </c>
      <c r="C321" t="s">
        <v>21</v>
      </c>
      <c r="O321" t="s">
        <v>0</v>
      </c>
      <c r="Q321" t="s">
        <v>21</v>
      </c>
    </row>
    <row r="322" spans="1:24" ht="24.95" customHeight="1" thickBot="1" x14ac:dyDescent="0.25"/>
    <row r="323" spans="1:24" ht="30" customHeight="1" thickTop="1" thickBot="1" x14ac:dyDescent="0.25">
      <c r="A323" s="1" t="s">
        <v>2</v>
      </c>
      <c r="B323" s="2" t="s">
        <v>3</v>
      </c>
      <c r="C323" s="2" t="s">
        <v>4</v>
      </c>
      <c r="D323" s="2" t="s">
        <v>5</v>
      </c>
      <c r="E323" s="2" t="s">
        <v>6</v>
      </c>
      <c r="F323" s="3" t="s">
        <v>45</v>
      </c>
      <c r="G323" s="3" t="s">
        <v>8</v>
      </c>
      <c r="H323" s="3" t="s">
        <v>9</v>
      </c>
      <c r="I323" s="3" t="s">
        <v>10</v>
      </c>
      <c r="J323" s="4" t="s">
        <v>11</v>
      </c>
      <c r="L323" s="370" t="s">
        <v>48</v>
      </c>
      <c r="O323" s="1" t="s">
        <v>2</v>
      </c>
      <c r="P323" s="2" t="s">
        <v>3</v>
      </c>
      <c r="Q323" s="2" t="s">
        <v>4</v>
      </c>
      <c r="R323" s="2" t="s">
        <v>5</v>
      </c>
      <c r="S323" s="2" t="s">
        <v>6</v>
      </c>
      <c r="T323" s="3" t="s">
        <v>45</v>
      </c>
      <c r="U323" s="3" t="s">
        <v>8</v>
      </c>
      <c r="V323" s="3" t="s">
        <v>9</v>
      </c>
      <c r="W323" s="3" t="s">
        <v>10</v>
      </c>
      <c r="X323" s="4" t="s">
        <v>11</v>
      </c>
    </row>
    <row r="324" spans="1:24" ht="24.95" customHeight="1" thickTop="1" thickBot="1" x14ac:dyDescent="0.3">
      <c r="A324" s="5">
        <v>1</v>
      </c>
      <c r="B324" s="6">
        <v>2</v>
      </c>
      <c r="C324" s="6">
        <v>3</v>
      </c>
      <c r="D324" s="6">
        <v>4</v>
      </c>
      <c r="E324" s="6">
        <v>5</v>
      </c>
      <c r="F324" s="6">
        <v>6</v>
      </c>
      <c r="G324" s="6">
        <v>7</v>
      </c>
      <c r="H324" s="6">
        <v>8</v>
      </c>
      <c r="I324" s="6">
        <v>9</v>
      </c>
      <c r="J324" s="7">
        <v>10</v>
      </c>
      <c r="K324" s="45" t="s">
        <v>157</v>
      </c>
      <c r="L324" s="45" t="s">
        <v>158</v>
      </c>
      <c r="M324" s="45" t="s">
        <v>159</v>
      </c>
      <c r="N324" s="357" t="s">
        <v>162</v>
      </c>
      <c r="O324" s="5">
        <v>1</v>
      </c>
      <c r="P324" s="6">
        <v>2</v>
      </c>
      <c r="Q324" s="6">
        <v>3</v>
      </c>
      <c r="R324" s="6">
        <v>4</v>
      </c>
      <c r="S324" s="6">
        <v>5</v>
      </c>
      <c r="T324" s="6">
        <v>6</v>
      </c>
      <c r="U324" s="6">
        <v>7</v>
      </c>
      <c r="V324" s="6">
        <v>8</v>
      </c>
      <c r="W324" s="6">
        <v>9</v>
      </c>
      <c r="X324" s="7">
        <v>10</v>
      </c>
    </row>
    <row r="325" spans="1:24" ht="24.95" customHeight="1" thickTop="1" x14ac:dyDescent="0.2">
      <c r="A325" s="55">
        <v>1</v>
      </c>
      <c r="B325" s="50" t="s">
        <v>82</v>
      </c>
      <c r="C325" s="143">
        <v>3</v>
      </c>
      <c r="D325" s="143">
        <v>8</v>
      </c>
      <c r="E325" s="143">
        <v>17</v>
      </c>
      <c r="F325" s="143">
        <f t="shared" ref="F325:F329" si="69">E325+D325+C325</f>
        <v>28</v>
      </c>
      <c r="G325" s="147">
        <f t="shared" ref="G325:G329" si="70">H325/1000*D325</f>
        <v>1.208</v>
      </c>
      <c r="H325" s="143">
        <v>151</v>
      </c>
      <c r="I325" s="143">
        <v>41</v>
      </c>
      <c r="J325" s="177"/>
      <c r="O325" s="55">
        <v>1</v>
      </c>
      <c r="P325" s="50" t="s">
        <v>82</v>
      </c>
      <c r="Q325" s="143">
        <v>3</v>
      </c>
      <c r="R325" s="143">
        <v>8</v>
      </c>
      <c r="S325" s="143">
        <v>17</v>
      </c>
      <c r="T325" s="143">
        <f t="shared" ref="T325:T327" si="71">S325+R325+Q325</f>
        <v>28</v>
      </c>
      <c r="U325" s="147">
        <f t="shared" ref="U325:U327" si="72">V325/1000*R325</f>
        <v>1.208</v>
      </c>
      <c r="V325" s="143">
        <v>151</v>
      </c>
      <c r="W325" s="143">
        <v>41</v>
      </c>
      <c r="X325" s="90"/>
    </row>
    <row r="326" spans="1:24" ht="24.95" customHeight="1" x14ac:dyDescent="0.2">
      <c r="A326" s="56">
        <v>2</v>
      </c>
      <c r="B326" s="51" t="s">
        <v>61</v>
      </c>
      <c r="C326" s="127">
        <v>3</v>
      </c>
      <c r="D326" s="143">
        <v>4</v>
      </c>
      <c r="E326" s="143">
        <v>0.3</v>
      </c>
      <c r="F326" s="70">
        <f t="shared" si="69"/>
        <v>7.3</v>
      </c>
      <c r="G326" s="147">
        <f t="shared" si="70"/>
        <v>0.60399999999999998</v>
      </c>
      <c r="H326" s="143">
        <v>151</v>
      </c>
      <c r="I326" s="143">
        <v>34</v>
      </c>
      <c r="J326" s="177"/>
      <c r="O326" s="56">
        <v>2</v>
      </c>
      <c r="P326" s="51" t="s">
        <v>61</v>
      </c>
      <c r="Q326" s="127">
        <v>2.6</v>
      </c>
      <c r="R326" s="143">
        <v>3.9</v>
      </c>
      <c r="S326" s="143">
        <v>0.3</v>
      </c>
      <c r="T326" s="70">
        <f t="shared" si="71"/>
        <v>6.8000000000000007</v>
      </c>
      <c r="U326" s="147">
        <f t="shared" si="72"/>
        <v>0.58889999999999998</v>
      </c>
      <c r="V326" s="143">
        <v>151</v>
      </c>
      <c r="W326" s="143">
        <v>34</v>
      </c>
      <c r="X326" s="90"/>
    </row>
    <row r="327" spans="1:24" ht="24.95" customHeight="1" x14ac:dyDescent="0.2">
      <c r="A327" s="57">
        <v>3</v>
      </c>
      <c r="B327" s="376" t="s">
        <v>75</v>
      </c>
      <c r="C327" s="143">
        <f>10-2</f>
        <v>8</v>
      </c>
      <c r="D327" s="143">
        <f>4+2</f>
        <v>6</v>
      </c>
      <c r="E327" s="143">
        <v>10</v>
      </c>
      <c r="F327" s="143">
        <f t="shared" si="69"/>
        <v>24</v>
      </c>
      <c r="G327" s="147">
        <f t="shared" si="70"/>
        <v>0.90599999999999992</v>
      </c>
      <c r="H327" s="143">
        <v>151</v>
      </c>
      <c r="I327" s="127">
        <v>110</v>
      </c>
      <c r="J327" s="177"/>
      <c r="K327" s="13">
        <f>C327-Q327</f>
        <v>-2</v>
      </c>
      <c r="L327" s="13">
        <f>D327-R327</f>
        <v>2</v>
      </c>
      <c r="M327" s="13">
        <f>E327-S327</f>
        <v>0</v>
      </c>
      <c r="O327" s="57">
        <v>3</v>
      </c>
      <c r="P327" s="52" t="s">
        <v>75</v>
      </c>
      <c r="Q327" s="143">
        <v>10</v>
      </c>
      <c r="R327" s="143">
        <v>4</v>
      </c>
      <c r="S327" s="143">
        <v>10</v>
      </c>
      <c r="T327" s="143">
        <f t="shared" si="71"/>
        <v>24</v>
      </c>
      <c r="U327" s="147">
        <f t="shared" si="72"/>
        <v>0.60399999999999998</v>
      </c>
      <c r="V327" s="143">
        <v>151</v>
      </c>
      <c r="W327" s="127">
        <v>110</v>
      </c>
      <c r="X327" s="90"/>
    </row>
    <row r="328" spans="1:24" ht="24.95" customHeight="1" x14ac:dyDescent="0.2">
      <c r="A328" s="57">
        <v>4</v>
      </c>
      <c r="B328" s="52" t="s">
        <v>68</v>
      </c>
      <c r="C328" s="127" t="s">
        <v>12</v>
      </c>
      <c r="D328" s="127" t="s">
        <v>12</v>
      </c>
      <c r="E328" s="127" t="s">
        <v>12</v>
      </c>
      <c r="F328" s="127" t="s">
        <v>12</v>
      </c>
      <c r="G328" s="127" t="s">
        <v>12</v>
      </c>
      <c r="H328" s="127" t="s">
        <v>12</v>
      </c>
      <c r="I328" s="127" t="s">
        <v>12</v>
      </c>
      <c r="J328" s="128"/>
      <c r="O328" s="57">
        <v>4</v>
      </c>
      <c r="P328" s="52" t="s">
        <v>68</v>
      </c>
      <c r="Q328" s="127" t="s">
        <v>12</v>
      </c>
      <c r="R328" s="127" t="s">
        <v>12</v>
      </c>
      <c r="S328" s="127" t="s">
        <v>12</v>
      </c>
      <c r="T328" s="127" t="s">
        <v>12</v>
      </c>
      <c r="U328" s="127" t="s">
        <v>12</v>
      </c>
      <c r="V328" s="127" t="s">
        <v>12</v>
      </c>
      <c r="W328" s="127" t="s">
        <v>12</v>
      </c>
      <c r="X328" s="89"/>
    </row>
    <row r="329" spans="1:24" ht="24.95" customHeight="1" x14ac:dyDescent="0.2">
      <c r="A329" s="57">
        <v>5</v>
      </c>
      <c r="B329" s="53" t="s">
        <v>66</v>
      </c>
      <c r="C329" s="143">
        <v>1</v>
      </c>
      <c r="D329" s="143">
        <v>3</v>
      </c>
      <c r="E329" s="143">
        <v>13</v>
      </c>
      <c r="F329" s="143">
        <f t="shared" si="69"/>
        <v>17</v>
      </c>
      <c r="G329" s="147">
        <f t="shared" si="70"/>
        <v>0.45299999999999996</v>
      </c>
      <c r="H329" s="143">
        <v>151</v>
      </c>
      <c r="I329" s="143">
        <v>34</v>
      </c>
      <c r="J329" s="177"/>
      <c r="O329" s="57">
        <v>5</v>
      </c>
      <c r="P329" s="53" t="s">
        <v>66</v>
      </c>
      <c r="Q329" s="143">
        <v>1</v>
      </c>
      <c r="R329" s="143">
        <v>3</v>
      </c>
      <c r="S329" s="143">
        <v>13</v>
      </c>
      <c r="T329" s="143">
        <f t="shared" ref="T329" si="73">S329+R329+Q329</f>
        <v>17</v>
      </c>
      <c r="U329" s="147">
        <f t="shared" ref="U329" si="74">V329/1000*R329</f>
        <v>0.45299999999999996</v>
      </c>
      <c r="V329" s="143">
        <v>151</v>
      </c>
      <c r="W329" s="143">
        <v>34</v>
      </c>
      <c r="X329" s="90"/>
    </row>
    <row r="330" spans="1:24" ht="24.95" customHeight="1" x14ac:dyDescent="0.2">
      <c r="A330" s="57">
        <v>6</v>
      </c>
      <c r="B330" s="52" t="s">
        <v>67</v>
      </c>
      <c r="C330" s="127" t="s">
        <v>12</v>
      </c>
      <c r="D330" s="127" t="s">
        <v>12</v>
      </c>
      <c r="E330" s="127" t="s">
        <v>12</v>
      </c>
      <c r="F330" s="127" t="s">
        <v>12</v>
      </c>
      <c r="G330" s="127" t="s">
        <v>12</v>
      </c>
      <c r="H330" s="127" t="s">
        <v>12</v>
      </c>
      <c r="I330" s="127" t="s">
        <v>12</v>
      </c>
      <c r="J330" s="128"/>
      <c r="O330" s="57">
        <v>6</v>
      </c>
      <c r="P330" s="52" t="s">
        <v>67</v>
      </c>
      <c r="Q330" s="127" t="s">
        <v>12</v>
      </c>
      <c r="R330" s="127" t="s">
        <v>12</v>
      </c>
      <c r="S330" s="127" t="s">
        <v>12</v>
      </c>
      <c r="T330" s="127" t="s">
        <v>12</v>
      </c>
      <c r="U330" s="127" t="s">
        <v>12</v>
      </c>
      <c r="V330" s="127" t="s">
        <v>12</v>
      </c>
      <c r="W330" s="127" t="s">
        <v>12</v>
      </c>
      <c r="X330" s="89"/>
    </row>
    <row r="331" spans="1:24" ht="24.95" customHeight="1" x14ac:dyDescent="0.2">
      <c r="A331" s="57">
        <v>7</v>
      </c>
      <c r="B331" s="52" t="s">
        <v>69</v>
      </c>
      <c r="C331" s="127" t="s">
        <v>12</v>
      </c>
      <c r="D331" s="127" t="s">
        <v>12</v>
      </c>
      <c r="E331" s="127" t="s">
        <v>12</v>
      </c>
      <c r="F331" s="127" t="s">
        <v>12</v>
      </c>
      <c r="G331" s="127" t="s">
        <v>12</v>
      </c>
      <c r="H331" s="127" t="s">
        <v>12</v>
      </c>
      <c r="I331" s="127" t="s">
        <v>12</v>
      </c>
      <c r="J331" s="177"/>
      <c r="O331" s="57">
        <v>7</v>
      </c>
      <c r="P331" s="52" t="s">
        <v>69</v>
      </c>
      <c r="Q331" s="127" t="s">
        <v>12</v>
      </c>
      <c r="R331" s="127" t="s">
        <v>12</v>
      </c>
      <c r="S331" s="127" t="s">
        <v>12</v>
      </c>
      <c r="T331" s="127" t="s">
        <v>12</v>
      </c>
      <c r="U331" s="127" t="s">
        <v>12</v>
      </c>
      <c r="V331" s="127" t="s">
        <v>12</v>
      </c>
      <c r="W331" s="127" t="s">
        <v>12</v>
      </c>
      <c r="X331" s="90"/>
    </row>
    <row r="332" spans="1:24" ht="24.95" customHeight="1" x14ac:dyDescent="0.2">
      <c r="A332" s="57">
        <v>8</v>
      </c>
      <c r="B332" s="52" t="s">
        <v>70</v>
      </c>
      <c r="C332" s="127" t="s">
        <v>12</v>
      </c>
      <c r="D332" s="127" t="s">
        <v>12</v>
      </c>
      <c r="E332" s="127" t="s">
        <v>12</v>
      </c>
      <c r="F332" s="127" t="s">
        <v>12</v>
      </c>
      <c r="G332" s="127" t="s">
        <v>12</v>
      </c>
      <c r="H332" s="127" t="s">
        <v>12</v>
      </c>
      <c r="I332" s="127" t="s">
        <v>12</v>
      </c>
      <c r="J332" s="177"/>
      <c r="O332" s="57">
        <v>8</v>
      </c>
      <c r="P332" s="52" t="s">
        <v>70</v>
      </c>
      <c r="Q332" s="127" t="s">
        <v>12</v>
      </c>
      <c r="R332" s="127" t="s">
        <v>12</v>
      </c>
      <c r="S332" s="127" t="s">
        <v>12</v>
      </c>
      <c r="T332" s="127" t="s">
        <v>12</v>
      </c>
      <c r="U332" s="127" t="s">
        <v>12</v>
      </c>
      <c r="V332" s="127" t="s">
        <v>12</v>
      </c>
      <c r="W332" s="127" t="s">
        <v>12</v>
      </c>
      <c r="X332" s="90"/>
    </row>
    <row r="333" spans="1:24" ht="24.95" customHeight="1" x14ac:dyDescent="0.2">
      <c r="A333" s="57">
        <v>9</v>
      </c>
      <c r="B333" s="52" t="s">
        <v>71</v>
      </c>
      <c r="C333" s="127" t="s">
        <v>12</v>
      </c>
      <c r="D333" s="127" t="s">
        <v>12</v>
      </c>
      <c r="E333" s="127" t="s">
        <v>12</v>
      </c>
      <c r="F333" s="127" t="s">
        <v>12</v>
      </c>
      <c r="G333" s="127" t="s">
        <v>12</v>
      </c>
      <c r="H333" s="127" t="s">
        <v>12</v>
      </c>
      <c r="I333" s="127" t="s">
        <v>12</v>
      </c>
      <c r="J333" s="177"/>
      <c r="O333" s="57">
        <v>9</v>
      </c>
      <c r="P333" s="52" t="s">
        <v>71</v>
      </c>
      <c r="Q333" s="127" t="s">
        <v>12</v>
      </c>
      <c r="R333" s="127" t="s">
        <v>12</v>
      </c>
      <c r="S333" s="127" t="s">
        <v>12</v>
      </c>
      <c r="T333" s="127" t="s">
        <v>12</v>
      </c>
      <c r="U333" s="127" t="s">
        <v>12</v>
      </c>
      <c r="V333" s="127" t="s">
        <v>12</v>
      </c>
      <c r="W333" s="127" t="s">
        <v>12</v>
      </c>
      <c r="X333" s="90"/>
    </row>
    <row r="334" spans="1:24" ht="24.95" customHeight="1" x14ac:dyDescent="0.2">
      <c r="A334" s="57">
        <v>10</v>
      </c>
      <c r="B334" s="52" t="s">
        <v>72</v>
      </c>
      <c r="C334" s="127" t="s">
        <v>12</v>
      </c>
      <c r="D334" s="127" t="s">
        <v>12</v>
      </c>
      <c r="E334" s="127" t="s">
        <v>12</v>
      </c>
      <c r="F334" s="127" t="s">
        <v>12</v>
      </c>
      <c r="G334" s="127" t="s">
        <v>12</v>
      </c>
      <c r="H334" s="127" t="s">
        <v>12</v>
      </c>
      <c r="I334" s="127" t="s">
        <v>12</v>
      </c>
      <c r="J334" s="177"/>
      <c r="O334" s="57">
        <v>10</v>
      </c>
      <c r="P334" s="52" t="s">
        <v>72</v>
      </c>
      <c r="Q334" s="127" t="s">
        <v>12</v>
      </c>
      <c r="R334" s="127" t="s">
        <v>12</v>
      </c>
      <c r="S334" s="127" t="s">
        <v>12</v>
      </c>
      <c r="T334" s="127" t="s">
        <v>12</v>
      </c>
      <c r="U334" s="127" t="s">
        <v>12</v>
      </c>
      <c r="V334" s="127" t="s">
        <v>12</v>
      </c>
      <c r="W334" s="127" t="s">
        <v>12</v>
      </c>
      <c r="X334" s="90"/>
    </row>
    <row r="335" spans="1:24" ht="24.95" customHeight="1" thickBot="1" x14ac:dyDescent="0.25">
      <c r="A335" s="57">
        <v>11</v>
      </c>
      <c r="B335" s="54" t="s">
        <v>73</v>
      </c>
      <c r="C335" s="127" t="s">
        <v>12</v>
      </c>
      <c r="D335" s="127" t="s">
        <v>12</v>
      </c>
      <c r="E335" s="127" t="s">
        <v>12</v>
      </c>
      <c r="F335" s="127" t="s">
        <v>12</v>
      </c>
      <c r="G335" s="127" t="s">
        <v>12</v>
      </c>
      <c r="H335" s="127" t="s">
        <v>12</v>
      </c>
      <c r="I335" s="127" t="s">
        <v>12</v>
      </c>
      <c r="J335" s="177"/>
      <c r="O335" s="57">
        <v>11</v>
      </c>
      <c r="P335" s="54" t="s">
        <v>73</v>
      </c>
      <c r="Q335" s="127" t="s">
        <v>12</v>
      </c>
      <c r="R335" s="127" t="s">
        <v>12</v>
      </c>
      <c r="S335" s="127" t="s">
        <v>12</v>
      </c>
      <c r="T335" s="127" t="s">
        <v>12</v>
      </c>
      <c r="U335" s="127" t="s">
        <v>12</v>
      </c>
      <c r="V335" s="127" t="s">
        <v>12</v>
      </c>
      <c r="W335" s="127" t="s">
        <v>12</v>
      </c>
      <c r="X335" s="90"/>
    </row>
    <row r="336" spans="1:24" ht="24.95" customHeight="1" thickTop="1" thickBot="1" x14ac:dyDescent="0.25">
      <c r="A336" s="454" t="s">
        <v>13</v>
      </c>
      <c r="B336" s="455"/>
      <c r="C336" s="180">
        <f>SUM(C325:C335)</f>
        <v>15</v>
      </c>
      <c r="D336" s="165">
        <f>SUM(D325:D335)</f>
        <v>21</v>
      </c>
      <c r="E336" s="180">
        <f>SUM(E325:E335)</f>
        <v>40.299999999999997</v>
      </c>
      <c r="F336" s="166">
        <f>E336+D336+C336</f>
        <v>76.3</v>
      </c>
      <c r="G336" s="347">
        <f>H336/1000*D336</f>
        <v>3.1709999999999998</v>
      </c>
      <c r="H336" s="165">
        <v>151</v>
      </c>
      <c r="I336" s="186">
        <f>SUM(I325:I335)</f>
        <v>219</v>
      </c>
      <c r="J336" s="169"/>
      <c r="O336" s="454" t="s">
        <v>13</v>
      </c>
      <c r="P336" s="455"/>
      <c r="Q336" s="180">
        <f>SUM(Q325:Q335)</f>
        <v>16.600000000000001</v>
      </c>
      <c r="R336" s="165">
        <f>SUM(R325:R335)</f>
        <v>18.899999999999999</v>
      </c>
      <c r="S336" s="180">
        <f>SUM(S325:S335)</f>
        <v>40.299999999999997</v>
      </c>
      <c r="T336" s="166">
        <f>S336+R336+Q336</f>
        <v>75.8</v>
      </c>
      <c r="U336" s="347">
        <f>V336/1000*R336</f>
        <v>2.8538999999999999</v>
      </c>
      <c r="V336" s="165">
        <v>151</v>
      </c>
      <c r="W336" s="186">
        <f>SUM(W325:W335)</f>
        <v>219</v>
      </c>
      <c r="X336" s="12"/>
    </row>
    <row r="337" spans="2:24" ht="24.95" customHeight="1" thickTop="1" x14ac:dyDescent="0.2">
      <c r="C337" s="224">
        <f>C336-Q336</f>
        <v>-1.6000000000000014</v>
      </c>
      <c r="D337" s="262">
        <f t="shared" ref="D337:I337" si="75">D336-R336</f>
        <v>2.1000000000000014</v>
      </c>
      <c r="E337" s="224">
        <f t="shared" si="75"/>
        <v>0</v>
      </c>
      <c r="F337" s="262">
        <f t="shared" si="75"/>
        <v>0.5</v>
      </c>
      <c r="G337" s="262">
        <f t="shared" si="75"/>
        <v>0.31709999999999994</v>
      </c>
      <c r="H337" s="224">
        <f t="shared" si="75"/>
        <v>0</v>
      </c>
      <c r="I337" s="224">
        <f t="shared" si="75"/>
        <v>0</v>
      </c>
    </row>
    <row r="338" spans="2:24" ht="24.95" customHeight="1" x14ac:dyDescent="0.2">
      <c r="B338" s="208" t="s">
        <v>4</v>
      </c>
      <c r="C338" s="209" t="s">
        <v>63</v>
      </c>
      <c r="F338" s="21"/>
      <c r="G338" s="45"/>
      <c r="P338" s="38"/>
      <c r="Q338" s="39"/>
      <c r="R338" s="21"/>
      <c r="S338" s="39"/>
      <c r="T338" s="21"/>
      <c r="U338" s="45" t="s">
        <v>112</v>
      </c>
    </row>
    <row r="339" spans="2:24" ht="24.95" customHeight="1" x14ac:dyDescent="0.2">
      <c r="B339" s="208" t="s">
        <v>5</v>
      </c>
      <c r="C339" s="209" t="s">
        <v>64</v>
      </c>
      <c r="G339" s="409"/>
      <c r="H339" s="410"/>
      <c r="I339" s="410"/>
      <c r="J339" s="410"/>
      <c r="U339" s="47" t="s">
        <v>38</v>
      </c>
      <c r="V339" s="46"/>
      <c r="W339" s="46"/>
      <c r="X339" s="46"/>
    </row>
    <row r="340" spans="2:24" ht="24.95" customHeight="1" x14ac:dyDescent="0.2">
      <c r="B340" s="208" t="s">
        <v>6</v>
      </c>
      <c r="C340" s="209" t="s">
        <v>65</v>
      </c>
      <c r="G340" s="45"/>
      <c r="H340" s="226"/>
      <c r="U340" s="45" t="s">
        <v>113</v>
      </c>
    </row>
    <row r="341" spans="2:24" ht="24.95" customHeight="1" x14ac:dyDescent="0.2">
      <c r="B341" s="211"/>
      <c r="C341" s="211"/>
      <c r="G341" s="409"/>
      <c r="H341" s="409"/>
      <c r="I341" s="409"/>
      <c r="J341" s="409"/>
      <c r="U341" s="409"/>
      <c r="V341" s="409"/>
      <c r="W341" s="409"/>
      <c r="X341" s="409"/>
    </row>
    <row r="342" spans="2:24" ht="24.95" customHeight="1" x14ac:dyDescent="0.2">
      <c r="D342">
        <v>19</v>
      </c>
      <c r="G342" s="349">
        <v>2.87</v>
      </c>
      <c r="H342" s="349">
        <f>G342/D342*1000</f>
        <v>151.05263157894737</v>
      </c>
      <c r="I342" s="349"/>
      <c r="J342" s="349"/>
      <c r="U342" s="349"/>
      <c r="V342" s="349"/>
      <c r="W342" s="349"/>
      <c r="X342" s="349"/>
    </row>
    <row r="343" spans="2:24" ht="24.95" customHeight="1" x14ac:dyDescent="0.2">
      <c r="G343" s="410"/>
      <c r="H343" s="410"/>
      <c r="I343" s="410"/>
      <c r="J343" s="410"/>
      <c r="U343" s="410"/>
      <c r="V343" s="410"/>
      <c r="W343" s="410"/>
      <c r="X343" s="410"/>
    </row>
    <row r="344" spans="2:24" ht="24.95" customHeight="1" x14ac:dyDescent="0.2">
      <c r="G344" s="410"/>
      <c r="H344" s="410"/>
      <c r="I344" s="410"/>
      <c r="J344" s="410"/>
      <c r="U344" s="410"/>
      <c r="V344" s="410"/>
      <c r="W344" s="410"/>
      <c r="X344" s="410"/>
    </row>
    <row r="345" spans="2:24" ht="24.95" customHeight="1" x14ac:dyDescent="0.2"/>
    <row r="346" spans="2:24" ht="15" customHeight="1" x14ac:dyDescent="0.2"/>
    <row r="347" spans="2:24" ht="15" customHeight="1" x14ac:dyDescent="0.25">
      <c r="G347" s="407"/>
      <c r="H347" s="407"/>
      <c r="I347" s="407"/>
      <c r="J347" s="407"/>
      <c r="U347" s="407"/>
      <c r="V347" s="407"/>
      <c r="W347" s="407"/>
      <c r="X347" s="407"/>
    </row>
    <row r="348" spans="2:24" ht="15" customHeight="1" x14ac:dyDescent="0.2">
      <c r="G348" s="410"/>
      <c r="H348" s="410"/>
      <c r="I348" s="410"/>
      <c r="J348" s="410"/>
      <c r="U348" s="410"/>
      <c r="V348" s="410"/>
      <c r="W348" s="410"/>
      <c r="X348" s="410"/>
    </row>
    <row r="349" spans="2:24" x14ac:dyDescent="0.2">
      <c r="G349" s="410"/>
      <c r="H349" s="410"/>
      <c r="I349" s="410"/>
      <c r="J349" s="410"/>
      <c r="U349" s="410"/>
      <c r="V349" s="410"/>
      <c r="W349" s="410"/>
      <c r="X349" s="410"/>
    </row>
    <row r="350" spans="2:24" x14ac:dyDescent="0.2">
      <c r="G350" s="349"/>
      <c r="H350" s="349"/>
      <c r="I350" s="349"/>
      <c r="J350" s="349"/>
      <c r="U350" s="349"/>
      <c r="V350" s="349"/>
      <c r="W350" s="349"/>
      <c r="X350" s="349"/>
    </row>
    <row r="351" spans="2:24" x14ac:dyDescent="0.2">
      <c r="G351" s="349"/>
      <c r="H351" s="349"/>
      <c r="I351" s="349"/>
      <c r="J351" s="349"/>
      <c r="U351" s="349"/>
      <c r="V351" s="349"/>
      <c r="W351" s="349"/>
      <c r="X351" s="349"/>
    </row>
    <row r="352" spans="2:24" x14ac:dyDescent="0.2">
      <c r="G352" s="349"/>
      <c r="H352" s="349"/>
      <c r="I352" s="349"/>
      <c r="J352" s="349"/>
      <c r="U352" s="349"/>
      <c r="V352" s="349"/>
      <c r="W352" s="349"/>
      <c r="X352" s="349"/>
    </row>
    <row r="353" spans="1:24" x14ac:dyDescent="0.2">
      <c r="G353" s="349"/>
      <c r="H353" s="349"/>
      <c r="I353" s="349"/>
      <c r="J353" s="349"/>
      <c r="U353" s="349"/>
      <c r="V353" s="349"/>
      <c r="W353" s="349"/>
      <c r="X353" s="349"/>
    </row>
    <row r="354" spans="1:24" x14ac:dyDescent="0.2">
      <c r="G354" s="349"/>
      <c r="H354" s="349"/>
      <c r="I354" s="349"/>
      <c r="J354" s="349"/>
      <c r="U354" s="349"/>
      <c r="V354" s="349"/>
      <c r="W354" s="349"/>
      <c r="X354" s="349"/>
    </row>
    <row r="355" spans="1:24" x14ac:dyDescent="0.2">
      <c r="G355" s="349"/>
      <c r="H355" s="349"/>
      <c r="I355" s="349"/>
      <c r="J355" s="349"/>
      <c r="U355" s="349"/>
      <c r="V355" s="349"/>
      <c r="W355" s="349"/>
      <c r="X355" s="349"/>
    </row>
    <row r="356" spans="1:24" x14ac:dyDescent="0.2">
      <c r="G356" s="349"/>
      <c r="H356" s="349"/>
      <c r="I356" s="349"/>
      <c r="J356" s="349"/>
      <c r="U356" s="349"/>
      <c r="V356" s="349"/>
      <c r="W356" s="349"/>
      <c r="X356" s="349"/>
    </row>
    <row r="357" spans="1:24" x14ac:dyDescent="0.2">
      <c r="G357" s="349"/>
      <c r="H357" s="349"/>
      <c r="I357" s="349"/>
      <c r="J357" s="349"/>
      <c r="U357" s="349"/>
      <c r="V357" s="349"/>
      <c r="W357" s="349"/>
      <c r="X357" s="349"/>
    </row>
    <row r="358" spans="1:24" x14ac:dyDescent="0.2">
      <c r="G358" s="349"/>
      <c r="H358" s="349"/>
      <c r="I358" s="349"/>
      <c r="J358" s="349"/>
      <c r="U358" s="349"/>
      <c r="V358" s="349"/>
      <c r="W358" s="349"/>
      <c r="X358" s="349"/>
    </row>
    <row r="359" spans="1:24" x14ac:dyDescent="0.2">
      <c r="G359" s="349"/>
      <c r="H359" s="349"/>
      <c r="I359" s="349"/>
      <c r="J359" s="349"/>
      <c r="U359" s="349"/>
      <c r="V359" s="349"/>
      <c r="W359" s="349"/>
      <c r="X359" s="349"/>
    </row>
    <row r="360" spans="1:24" x14ac:dyDescent="0.2">
      <c r="G360" s="349"/>
      <c r="H360" s="349"/>
      <c r="I360" s="349"/>
      <c r="J360" s="349"/>
      <c r="U360" s="349"/>
      <c r="V360" s="349"/>
      <c r="W360" s="349"/>
      <c r="X360" s="349"/>
    </row>
    <row r="361" spans="1:24" ht="24.95" customHeight="1" x14ac:dyDescent="0.2">
      <c r="G361" s="349"/>
      <c r="H361" s="349"/>
      <c r="I361" s="349"/>
      <c r="J361" s="349"/>
      <c r="U361" s="349"/>
      <c r="V361" s="349"/>
      <c r="W361" s="349"/>
      <c r="X361" s="349"/>
    </row>
    <row r="362" spans="1:24" ht="24.95" customHeight="1" x14ac:dyDescent="0.3">
      <c r="A362" s="422" t="s">
        <v>51</v>
      </c>
      <c r="B362" s="422"/>
      <c r="C362" s="422"/>
      <c r="D362" s="422"/>
      <c r="E362" s="422"/>
      <c r="F362" s="422"/>
      <c r="G362" s="422"/>
      <c r="H362" s="422"/>
      <c r="I362" s="422"/>
      <c r="J362" s="422"/>
      <c r="O362" s="452" t="s">
        <v>51</v>
      </c>
      <c r="P362" s="452"/>
      <c r="Q362" s="452"/>
      <c r="R362" s="452"/>
      <c r="S362" s="452"/>
      <c r="T362" s="452"/>
      <c r="U362" s="452"/>
      <c r="V362" s="452"/>
      <c r="W362" s="452"/>
      <c r="X362" s="452"/>
    </row>
    <row r="363" spans="1:24" ht="24.95" customHeight="1" x14ac:dyDescent="0.3">
      <c r="A363" s="422" t="s">
        <v>53</v>
      </c>
      <c r="B363" s="422"/>
      <c r="C363" s="422"/>
      <c r="D363" s="422"/>
      <c r="E363" s="422"/>
      <c r="F363" s="422"/>
      <c r="G363" s="422"/>
      <c r="H363" s="422"/>
      <c r="I363" s="422"/>
      <c r="J363" s="422"/>
      <c r="O363" s="452" t="s">
        <v>53</v>
      </c>
      <c r="P363" s="452"/>
      <c r="Q363" s="452"/>
      <c r="R363" s="452"/>
      <c r="S363" s="452"/>
      <c r="T363" s="452"/>
      <c r="U363" s="452"/>
      <c r="V363" s="452"/>
      <c r="W363" s="452"/>
      <c r="X363" s="452"/>
    </row>
    <row r="364" spans="1:24" ht="24.95" customHeight="1" x14ac:dyDescent="0.3">
      <c r="A364" s="422" t="s">
        <v>114</v>
      </c>
      <c r="B364" s="422"/>
      <c r="C364" s="422"/>
      <c r="D364" s="422"/>
      <c r="E364" s="422"/>
      <c r="F364" s="422"/>
      <c r="G364" s="422"/>
      <c r="H364" s="422"/>
      <c r="I364" s="422"/>
      <c r="J364" s="422"/>
      <c r="O364" s="452" t="s">
        <v>52</v>
      </c>
      <c r="P364" s="452"/>
      <c r="Q364" s="452"/>
      <c r="R364" s="452"/>
      <c r="S364" s="452"/>
      <c r="T364" s="452"/>
      <c r="U364" s="452"/>
      <c r="V364" s="452"/>
      <c r="W364" s="452"/>
      <c r="X364" s="452"/>
    </row>
    <row r="365" spans="1:24" ht="24.95" customHeight="1" x14ac:dyDescent="0.2"/>
    <row r="366" spans="1:24" ht="24.95" customHeight="1" x14ac:dyDescent="0.2">
      <c r="A366" t="s">
        <v>0</v>
      </c>
      <c r="C366" t="s">
        <v>22</v>
      </c>
      <c r="O366" t="s">
        <v>0</v>
      </c>
      <c r="Q366" t="s">
        <v>22</v>
      </c>
    </row>
    <row r="367" spans="1:24" ht="24.95" customHeight="1" thickBot="1" x14ac:dyDescent="0.25"/>
    <row r="368" spans="1:24" ht="24.95" customHeight="1" thickTop="1" thickBot="1" x14ac:dyDescent="0.25">
      <c r="A368" s="1" t="s">
        <v>2</v>
      </c>
      <c r="B368" s="2" t="s">
        <v>3</v>
      </c>
      <c r="C368" s="2" t="s">
        <v>4</v>
      </c>
      <c r="D368" s="2" t="s">
        <v>5</v>
      </c>
      <c r="E368" s="2" t="s">
        <v>6</v>
      </c>
      <c r="F368" s="3" t="s">
        <v>46</v>
      </c>
      <c r="G368" s="3" t="s">
        <v>8</v>
      </c>
      <c r="H368" s="3" t="s">
        <v>9</v>
      </c>
      <c r="I368" s="3" t="s">
        <v>10</v>
      </c>
      <c r="J368" s="4" t="s">
        <v>11</v>
      </c>
      <c r="L368" s="370" t="s">
        <v>48</v>
      </c>
      <c r="O368" s="1" t="s">
        <v>2</v>
      </c>
      <c r="P368" s="2" t="s">
        <v>3</v>
      </c>
      <c r="Q368" s="2" t="s">
        <v>4</v>
      </c>
      <c r="R368" s="2" t="s">
        <v>5</v>
      </c>
      <c r="S368" s="2" t="s">
        <v>6</v>
      </c>
      <c r="T368" s="3" t="s">
        <v>46</v>
      </c>
      <c r="U368" s="3" t="s">
        <v>8</v>
      </c>
      <c r="V368" s="3" t="s">
        <v>9</v>
      </c>
      <c r="W368" s="3" t="s">
        <v>10</v>
      </c>
      <c r="X368" s="4" t="s">
        <v>11</v>
      </c>
    </row>
    <row r="369" spans="1:24" ht="24.95" customHeight="1" thickTop="1" thickBot="1" x14ac:dyDescent="0.3">
      <c r="A369" s="5">
        <v>1</v>
      </c>
      <c r="B369" s="6">
        <v>2</v>
      </c>
      <c r="C369" s="6">
        <v>3</v>
      </c>
      <c r="D369" s="6">
        <v>4</v>
      </c>
      <c r="E369" s="6">
        <v>5</v>
      </c>
      <c r="F369" s="6">
        <v>6</v>
      </c>
      <c r="G369" s="6">
        <v>7</v>
      </c>
      <c r="H369" s="6">
        <v>8</v>
      </c>
      <c r="I369" s="6">
        <v>9</v>
      </c>
      <c r="J369" s="7">
        <v>10</v>
      </c>
      <c r="O369" s="5">
        <v>1</v>
      </c>
      <c r="P369" s="6">
        <v>2</v>
      </c>
      <c r="Q369" s="6">
        <v>3</v>
      </c>
      <c r="R369" s="6">
        <v>4</v>
      </c>
      <c r="S369" s="6">
        <v>5</v>
      </c>
      <c r="T369" s="6">
        <v>6</v>
      </c>
      <c r="U369" s="6">
        <v>7</v>
      </c>
      <c r="V369" s="6">
        <v>8</v>
      </c>
      <c r="W369" s="6">
        <v>9</v>
      </c>
      <c r="X369" s="7">
        <v>10</v>
      </c>
    </row>
    <row r="370" spans="1:24" ht="24.95" customHeight="1" thickTop="1" x14ac:dyDescent="0.2">
      <c r="A370" s="55">
        <v>1</v>
      </c>
      <c r="B370" s="50" t="s">
        <v>82</v>
      </c>
      <c r="C370" s="175">
        <v>0</v>
      </c>
      <c r="D370" s="175">
        <v>0</v>
      </c>
      <c r="E370" s="175">
        <v>43</v>
      </c>
      <c r="F370" s="175">
        <f>E370</f>
        <v>43</v>
      </c>
      <c r="G370" s="183" t="s">
        <v>12</v>
      </c>
      <c r="H370" s="183">
        <v>514</v>
      </c>
      <c r="I370" s="175">
        <v>83</v>
      </c>
      <c r="J370" s="176"/>
      <c r="O370" s="55">
        <v>1</v>
      </c>
      <c r="P370" s="50" t="s">
        <v>82</v>
      </c>
      <c r="Q370" s="175">
        <v>0</v>
      </c>
      <c r="R370" s="175">
        <v>0</v>
      </c>
      <c r="S370" s="175">
        <v>43</v>
      </c>
      <c r="T370" s="175">
        <f>S370</f>
        <v>43</v>
      </c>
      <c r="U370" s="183" t="s">
        <v>12</v>
      </c>
      <c r="V370" s="183">
        <v>514</v>
      </c>
      <c r="W370" s="175">
        <v>83</v>
      </c>
      <c r="X370" s="96"/>
    </row>
    <row r="371" spans="1:24" ht="24.95" customHeight="1" x14ac:dyDescent="0.2">
      <c r="A371" s="56">
        <v>2</v>
      </c>
      <c r="B371" s="51" t="s">
        <v>61</v>
      </c>
      <c r="C371" s="143">
        <v>0</v>
      </c>
      <c r="D371" s="143">
        <v>0</v>
      </c>
      <c r="E371" s="143">
        <v>0</v>
      </c>
      <c r="F371" s="143">
        <v>0</v>
      </c>
      <c r="G371" s="143">
        <v>0</v>
      </c>
      <c r="H371" s="143">
        <v>0</v>
      </c>
      <c r="I371" s="143">
        <v>0</v>
      </c>
      <c r="J371" s="177"/>
      <c r="O371" s="56">
        <v>2</v>
      </c>
      <c r="P371" s="51" t="s">
        <v>61</v>
      </c>
      <c r="Q371" s="143">
        <v>0</v>
      </c>
      <c r="R371" s="143">
        <v>0</v>
      </c>
      <c r="S371" s="143">
        <v>0</v>
      </c>
      <c r="T371" s="143">
        <v>0</v>
      </c>
      <c r="U371" s="143">
        <v>0</v>
      </c>
      <c r="V371" s="143">
        <v>0</v>
      </c>
      <c r="W371" s="143">
        <v>0</v>
      </c>
      <c r="X371" s="90"/>
    </row>
    <row r="372" spans="1:24" ht="24.95" customHeight="1" x14ac:dyDescent="0.2">
      <c r="A372" s="57">
        <v>3</v>
      </c>
      <c r="B372" s="52" t="s">
        <v>75</v>
      </c>
      <c r="C372" s="127" t="s">
        <v>12</v>
      </c>
      <c r="D372" s="143">
        <v>10</v>
      </c>
      <c r="E372" s="143">
        <v>2</v>
      </c>
      <c r="F372" s="143">
        <f>E372+D372</f>
        <v>12</v>
      </c>
      <c r="G372" s="154">
        <f>H372/1000*D372</f>
        <v>5.1400000000000006</v>
      </c>
      <c r="H372" s="143">
        <v>514</v>
      </c>
      <c r="I372" s="127">
        <v>25</v>
      </c>
      <c r="J372" s="177"/>
      <c r="O372" s="57">
        <v>3</v>
      </c>
      <c r="P372" s="52" t="s">
        <v>75</v>
      </c>
      <c r="Q372" s="127" t="s">
        <v>12</v>
      </c>
      <c r="R372" s="143">
        <v>10</v>
      </c>
      <c r="S372" s="143">
        <v>2</v>
      </c>
      <c r="T372" s="143">
        <f>S372+R372</f>
        <v>12</v>
      </c>
      <c r="U372" s="154">
        <f>V372/1000*R372</f>
        <v>5.1400000000000006</v>
      </c>
      <c r="V372" s="143">
        <v>514</v>
      </c>
      <c r="W372" s="127">
        <v>25</v>
      </c>
      <c r="X372" s="90"/>
    </row>
    <row r="373" spans="1:24" ht="24.95" customHeight="1" x14ac:dyDescent="0.2">
      <c r="A373" s="57">
        <v>4</v>
      </c>
      <c r="B373" s="52" t="s">
        <v>68</v>
      </c>
      <c r="C373" s="143">
        <v>0</v>
      </c>
      <c r="D373" s="143">
        <v>0</v>
      </c>
      <c r="E373" s="143">
        <v>0</v>
      </c>
      <c r="F373" s="143">
        <v>0</v>
      </c>
      <c r="G373" s="143">
        <v>0</v>
      </c>
      <c r="H373" s="143">
        <v>0</v>
      </c>
      <c r="I373" s="143">
        <v>0</v>
      </c>
      <c r="J373" s="177"/>
      <c r="O373" s="57">
        <v>4</v>
      </c>
      <c r="P373" s="52" t="s">
        <v>68</v>
      </c>
      <c r="Q373" s="143">
        <v>0</v>
      </c>
      <c r="R373" s="143">
        <v>0</v>
      </c>
      <c r="S373" s="143">
        <v>0</v>
      </c>
      <c r="T373" s="143">
        <v>0</v>
      </c>
      <c r="U373" s="143">
        <v>0</v>
      </c>
      <c r="V373" s="143">
        <v>0</v>
      </c>
      <c r="W373" s="143">
        <v>0</v>
      </c>
      <c r="X373" s="90"/>
    </row>
    <row r="374" spans="1:24" ht="24.95" customHeight="1" x14ac:dyDescent="0.2">
      <c r="A374" s="57">
        <v>5</v>
      </c>
      <c r="B374" s="53" t="s">
        <v>66</v>
      </c>
      <c r="C374" s="143">
        <v>0</v>
      </c>
      <c r="D374" s="143">
        <v>0</v>
      </c>
      <c r="E374" s="143">
        <f>48-8</f>
        <v>40</v>
      </c>
      <c r="F374" s="143">
        <f>E374</f>
        <v>40</v>
      </c>
      <c r="G374" s="143">
        <v>0</v>
      </c>
      <c r="H374" s="143">
        <v>514</v>
      </c>
      <c r="I374" s="143">
        <f>70-14</f>
        <v>56</v>
      </c>
      <c r="J374" s="177"/>
      <c r="L374" s="13"/>
      <c r="M374" s="13">
        <f>E374-S374</f>
        <v>0</v>
      </c>
      <c r="N374" s="13"/>
      <c r="O374" s="57">
        <v>5</v>
      </c>
      <c r="P374" s="53" t="s">
        <v>66</v>
      </c>
      <c r="Q374" s="143">
        <v>0</v>
      </c>
      <c r="R374" s="143">
        <v>0</v>
      </c>
      <c r="S374" s="143">
        <f>48-8</f>
        <v>40</v>
      </c>
      <c r="T374" s="143">
        <f>S374</f>
        <v>40</v>
      </c>
      <c r="U374" s="143">
        <v>0</v>
      </c>
      <c r="V374" s="143">
        <v>514</v>
      </c>
      <c r="W374" s="143">
        <f>70-14</f>
        <v>56</v>
      </c>
      <c r="X374" s="90"/>
    </row>
    <row r="375" spans="1:24" ht="24.95" customHeight="1" x14ac:dyDescent="0.2">
      <c r="A375" s="57">
        <v>6</v>
      </c>
      <c r="B375" s="52" t="s">
        <v>67</v>
      </c>
      <c r="C375" s="127" t="s">
        <v>12</v>
      </c>
      <c r="D375" s="143">
        <v>0</v>
      </c>
      <c r="E375" s="143">
        <v>0</v>
      </c>
      <c r="F375" s="127" t="s">
        <v>12</v>
      </c>
      <c r="G375" s="147">
        <v>0</v>
      </c>
      <c r="H375" s="143">
        <v>0</v>
      </c>
      <c r="I375" s="127" t="s">
        <v>12</v>
      </c>
      <c r="J375" s="177"/>
      <c r="O375" s="57">
        <v>6</v>
      </c>
      <c r="P375" s="52" t="s">
        <v>67</v>
      </c>
      <c r="Q375" s="127" t="s">
        <v>12</v>
      </c>
      <c r="R375" s="143">
        <v>0</v>
      </c>
      <c r="S375" s="143">
        <v>0</v>
      </c>
      <c r="T375" s="127" t="s">
        <v>12</v>
      </c>
      <c r="U375" s="147">
        <v>0</v>
      </c>
      <c r="V375" s="143">
        <v>0</v>
      </c>
      <c r="W375" s="127" t="s">
        <v>12</v>
      </c>
      <c r="X375" s="90"/>
    </row>
    <row r="376" spans="1:24" ht="24.95" customHeight="1" x14ac:dyDescent="0.2">
      <c r="A376" s="57">
        <v>7</v>
      </c>
      <c r="B376" s="52" t="s">
        <v>69</v>
      </c>
      <c r="C376" s="127" t="s">
        <v>12</v>
      </c>
      <c r="D376" s="143">
        <v>0</v>
      </c>
      <c r="E376" s="143">
        <v>0</v>
      </c>
      <c r="F376" s="127" t="s">
        <v>12</v>
      </c>
      <c r="G376" s="147">
        <v>0</v>
      </c>
      <c r="H376" s="143">
        <v>0</v>
      </c>
      <c r="I376" s="127" t="s">
        <v>12</v>
      </c>
      <c r="J376" s="177"/>
      <c r="O376" s="57">
        <v>7</v>
      </c>
      <c r="P376" s="52" t="s">
        <v>69</v>
      </c>
      <c r="Q376" s="127" t="s">
        <v>12</v>
      </c>
      <c r="R376" s="143">
        <v>0</v>
      </c>
      <c r="S376" s="143">
        <v>0</v>
      </c>
      <c r="T376" s="127" t="s">
        <v>12</v>
      </c>
      <c r="U376" s="147">
        <v>0</v>
      </c>
      <c r="V376" s="143">
        <v>0</v>
      </c>
      <c r="W376" s="127" t="s">
        <v>12</v>
      </c>
      <c r="X376" s="90"/>
    </row>
    <row r="377" spans="1:24" ht="24.95" customHeight="1" x14ac:dyDescent="0.2">
      <c r="A377" s="57">
        <v>8</v>
      </c>
      <c r="B377" s="52" t="s">
        <v>70</v>
      </c>
      <c r="C377" s="127" t="s">
        <v>12</v>
      </c>
      <c r="D377" s="143">
        <v>0</v>
      </c>
      <c r="E377" s="143">
        <v>0</v>
      </c>
      <c r="F377" s="127" t="s">
        <v>12</v>
      </c>
      <c r="G377" s="147">
        <v>0</v>
      </c>
      <c r="H377" s="143">
        <v>0</v>
      </c>
      <c r="I377" s="127" t="s">
        <v>12</v>
      </c>
      <c r="J377" s="177"/>
      <c r="O377" s="57">
        <v>8</v>
      </c>
      <c r="P377" s="52" t="s">
        <v>70</v>
      </c>
      <c r="Q377" s="127" t="s">
        <v>12</v>
      </c>
      <c r="R377" s="143">
        <v>0</v>
      </c>
      <c r="S377" s="143">
        <v>0</v>
      </c>
      <c r="T377" s="127" t="s">
        <v>12</v>
      </c>
      <c r="U377" s="147">
        <v>0</v>
      </c>
      <c r="V377" s="143">
        <v>0</v>
      </c>
      <c r="W377" s="127" t="s">
        <v>12</v>
      </c>
      <c r="X377" s="90"/>
    </row>
    <row r="378" spans="1:24" ht="24.95" customHeight="1" x14ac:dyDescent="0.2">
      <c r="A378" s="57">
        <v>9</v>
      </c>
      <c r="B378" s="52" t="s">
        <v>71</v>
      </c>
      <c r="C378" s="127" t="s">
        <v>12</v>
      </c>
      <c r="D378" s="143">
        <v>0</v>
      </c>
      <c r="E378" s="143">
        <v>0</v>
      </c>
      <c r="F378" s="127" t="s">
        <v>12</v>
      </c>
      <c r="G378" s="147">
        <v>0</v>
      </c>
      <c r="H378" s="143">
        <v>0</v>
      </c>
      <c r="I378" s="127" t="s">
        <v>12</v>
      </c>
      <c r="J378" s="177"/>
      <c r="O378" s="57">
        <v>9</v>
      </c>
      <c r="P378" s="52" t="s">
        <v>71</v>
      </c>
      <c r="Q378" s="127" t="s">
        <v>12</v>
      </c>
      <c r="R378" s="143">
        <v>0</v>
      </c>
      <c r="S378" s="143">
        <v>0</v>
      </c>
      <c r="T378" s="127" t="s">
        <v>12</v>
      </c>
      <c r="U378" s="147">
        <v>0</v>
      </c>
      <c r="V378" s="143">
        <v>0</v>
      </c>
      <c r="W378" s="127" t="s">
        <v>12</v>
      </c>
      <c r="X378" s="90"/>
    </row>
    <row r="379" spans="1:24" ht="24.95" customHeight="1" x14ac:dyDescent="0.2">
      <c r="A379" s="57">
        <v>10</v>
      </c>
      <c r="B379" s="52" t="s">
        <v>72</v>
      </c>
      <c r="C379" s="127" t="s">
        <v>12</v>
      </c>
      <c r="D379" s="143">
        <v>0</v>
      </c>
      <c r="E379" s="143">
        <v>0</v>
      </c>
      <c r="F379" s="127" t="s">
        <v>12</v>
      </c>
      <c r="G379" s="147">
        <v>0</v>
      </c>
      <c r="H379" s="143">
        <v>0</v>
      </c>
      <c r="I379" s="127" t="s">
        <v>12</v>
      </c>
      <c r="J379" s="177"/>
      <c r="O379" s="57">
        <v>10</v>
      </c>
      <c r="P379" s="52" t="s">
        <v>72</v>
      </c>
      <c r="Q379" s="127" t="s">
        <v>12</v>
      </c>
      <c r="R379" s="143">
        <v>0</v>
      </c>
      <c r="S379" s="143">
        <v>0</v>
      </c>
      <c r="T379" s="127" t="s">
        <v>12</v>
      </c>
      <c r="U379" s="147">
        <v>0</v>
      </c>
      <c r="V379" s="143">
        <v>0</v>
      </c>
      <c r="W379" s="127" t="s">
        <v>12</v>
      </c>
      <c r="X379" s="90"/>
    </row>
    <row r="380" spans="1:24" ht="24.95" customHeight="1" thickBot="1" x14ac:dyDescent="0.25">
      <c r="A380" s="57">
        <v>11</v>
      </c>
      <c r="B380" s="54" t="s">
        <v>73</v>
      </c>
      <c r="C380" s="127" t="s">
        <v>12</v>
      </c>
      <c r="D380" s="143">
        <v>0</v>
      </c>
      <c r="E380" s="143">
        <v>0</v>
      </c>
      <c r="F380" s="127" t="s">
        <v>12</v>
      </c>
      <c r="G380" s="147">
        <v>0</v>
      </c>
      <c r="H380" s="143">
        <v>0</v>
      </c>
      <c r="I380" s="127" t="s">
        <v>12</v>
      </c>
      <c r="J380" s="177"/>
      <c r="O380" s="57">
        <v>11</v>
      </c>
      <c r="P380" s="54" t="s">
        <v>73</v>
      </c>
      <c r="Q380" s="127" t="s">
        <v>12</v>
      </c>
      <c r="R380" s="143">
        <v>0</v>
      </c>
      <c r="S380" s="143">
        <v>0</v>
      </c>
      <c r="T380" s="127" t="s">
        <v>12</v>
      </c>
      <c r="U380" s="147">
        <v>0</v>
      </c>
      <c r="V380" s="143">
        <v>0</v>
      </c>
      <c r="W380" s="127" t="s">
        <v>12</v>
      </c>
      <c r="X380" s="90"/>
    </row>
    <row r="381" spans="1:24" ht="24.95" customHeight="1" thickTop="1" thickBot="1" x14ac:dyDescent="0.25">
      <c r="A381" s="454" t="s">
        <v>13</v>
      </c>
      <c r="B381" s="455"/>
      <c r="C381" s="164">
        <f>SUM(C370:C380)</f>
        <v>0</v>
      </c>
      <c r="D381" s="166">
        <f>SUM(D370:D380)</f>
        <v>10</v>
      </c>
      <c r="E381" s="184">
        <f>SUM(E370:E380)</f>
        <v>85</v>
      </c>
      <c r="F381" s="165">
        <f>SUM(F370:F380)</f>
        <v>95</v>
      </c>
      <c r="G381" s="185">
        <f>SUM(G370:G380)</f>
        <v>5.1400000000000006</v>
      </c>
      <c r="H381" s="165">
        <v>514</v>
      </c>
      <c r="I381" s="168">
        <f>SUM(I370:I380)</f>
        <v>164</v>
      </c>
      <c r="J381" s="169"/>
      <c r="O381" s="454" t="s">
        <v>13</v>
      </c>
      <c r="P381" s="455"/>
      <c r="Q381" s="164">
        <f>SUM(Q370:Q380)</f>
        <v>0</v>
      </c>
      <c r="R381" s="166">
        <f>SUM(R370:R380)</f>
        <v>10</v>
      </c>
      <c r="S381" s="184">
        <f>SUM(S370:S380)</f>
        <v>85</v>
      </c>
      <c r="T381" s="165">
        <f>SUM(T370:T380)</f>
        <v>95</v>
      </c>
      <c r="U381" s="185">
        <f>SUM(U370:U380)</f>
        <v>5.1400000000000006</v>
      </c>
      <c r="V381" s="165">
        <v>514</v>
      </c>
      <c r="W381" s="168">
        <f>SUM(W370:W380)</f>
        <v>164</v>
      </c>
      <c r="X381" s="12"/>
    </row>
    <row r="382" spans="1:24" ht="24.95" customHeight="1" thickTop="1" x14ac:dyDescent="0.2">
      <c r="C382" s="13">
        <f>C381-Q381</f>
        <v>0</v>
      </c>
      <c r="D382" s="13">
        <f>D381-R381</f>
        <v>0</v>
      </c>
      <c r="E382" s="13">
        <f>E381-S381</f>
        <v>0</v>
      </c>
      <c r="F382" s="13">
        <f>F381-T381</f>
        <v>0</v>
      </c>
      <c r="G382" s="13">
        <f t="shared" ref="G382:I382" si="76">G381-U381</f>
        <v>0</v>
      </c>
      <c r="H382" s="13">
        <f t="shared" si="76"/>
        <v>0</v>
      </c>
      <c r="I382" s="13">
        <f t="shared" si="76"/>
        <v>0</v>
      </c>
    </row>
    <row r="383" spans="1:24" ht="24.95" customHeight="1" x14ac:dyDescent="0.2">
      <c r="B383" s="45" t="s">
        <v>4</v>
      </c>
      <c r="C383" s="210" t="s">
        <v>63</v>
      </c>
      <c r="F383" s="21"/>
      <c r="G383" s="45"/>
      <c r="H383">
        <f>G381/D381*1000</f>
        <v>514</v>
      </c>
      <c r="P383" s="38"/>
      <c r="Q383" s="21"/>
      <c r="R383" s="21"/>
      <c r="S383" s="21"/>
      <c r="T383" s="21"/>
      <c r="U383" s="45" t="s">
        <v>112</v>
      </c>
    </row>
    <row r="384" spans="1:24" ht="24.95" customHeight="1" x14ac:dyDescent="0.2">
      <c r="B384" s="45" t="s">
        <v>5</v>
      </c>
      <c r="C384" s="210" t="s">
        <v>64</v>
      </c>
      <c r="G384" s="409"/>
      <c r="H384" s="410"/>
      <c r="I384" s="410"/>
      <c r="J384" s="410"/>
      <c r="U384" s="47" t="s">
        <v>38</v>
      </c>
      <c r="V384" s="46"/>
      <c r="W384" s="46"/>
      <c r="X384" s="46"/>
    </row>
    <row r="385" spans="2:24" ht="24.95" customHeight="1" x14ac:dyDescent="0.2">
      <c r="B385" s="45" t="s">
        <v>6</v>
      </c>
      <c r="C385" s="210" t="s">
        <v>65</v>
      </c>
      <c r="G385" s="45"/>
      <c r="U385" s="45" t="s">
        <v>113</v>
      </c>
    </row>
    <row r="386" spans="2:24" ht="24.95" customHeight="1" x14ac:dyDescent="0.2"/>
    <row r="387" spans="2:24" ht="24.95" customHeight="1" x14ac:dyDescent="0.2">
      <c r="F387" s="8"/>
      <c r="G387" s="409"/>
      <c r="H387" s="409"/>
      <c r="I387" s="409"/>
      <c r="J387" s="409"/>
      <c r="T387" s="8"/>
      <c r="U387" s="409"/>
      <c r="V387" s="409"/>
      <c r="W387" s="409"/>
      <c r="X387" s="409"/>
    </row>
    <row r="388" spans="2:24" ht="24.95" customHeight="1" x14ac:dyDescent="0.2">
      <c r="G388" s="349"/>
      <c r="H388" s="349"/>
      <c r="I388" s="349"/>
      <c r="J388" s="349"/>
      <c r="U388" s="349"/>
      <c r="V388" s="349"/>
      <c r="W388" s="349"/>
      <c r="X388" s="349"/>
    </row>
    <row r="389" spans="2:24" ht="24.95" customHeight="1" x14ac:dyDescent="0.2">
      <c r="G389" s="410"/>
      <c r="H389" s="410"/>
      <c r="I389" s="410"/>
      <c r="J389" s="410"/>
      <c r="U389" s="410"/>
      <c r="V389" s="410"/>
      <c r="W389" s="410"/>
      <c r="X389" s="410"/>
    </row>
    <row r="390" spans="2:24" ht="24.95" customHeight="1" x14ac:dyDescent="0.2">
      <c r="G390" s="410"/>
      <c r="H390" s="410"/>
      <c r="I390" s="410"/>
      <c r="J390" s="410"/>
      <c r="U390" s="410"/>
      <c r="V390" s="410"/>
      <c r="W390" s="410"/>
      <c r="X390" s="410"/>
    </row>
    <row r="391" spans="2:24" ht="24.95" customHeight="1" x14ac:dyDescent="0.2"/>
    <row r="392" spans="2:24" ht="24.95" customHeight="1" x14ac:dyDescent="0.2"/>
    <row r="393" spans="2:24" ht="24.95" customHeight="1" x14ac:dyDescent="0.25">
      <c r="G393" s="407"/>
      <c r="H393" s="407"/>
      <c r="I393" s="407"/>
      <c r="J393" s="407"/>
      <c r="U393" s="407"/>
      <c r="V393" s="407"/>
      <c r="W393" s="407"/>
      <c r="X393" s="407"/>
    </row>
    <row r="394" spans="2:24" x14ac:dyDescent="0.2">
      <c r="G394" s="410"/>
      <c r="H394" s="410"/>
      <c r="I394" s="410"/>
      <c r="J394" s="410"/>
      <c r="U394" s="410"/>
      <c r="V394" s="410"/>
      <c r="W394" s="410"/>
      <c r="X394" s="410"/>
    </row>
    <row r="395" spans="2:24" x14ac:dyDescent="0.2">
      <c r="G395" s="410"/>
      <c r="H395" s="410"/>
      <c r="I395" s="410"/>
      <c r="J395" s="410"/>
      <c r="U395" s="410"/>
      <c r="V395" s="410"/>
      <c r="W395" s="410"/>
      <c r="X395" s="410"/>
    </row>
    <row r="396" spans="2:24" x14ac:dyDescent="0.2">
      <c r="G396" s="349"/>
      <c r="H396" s="349"/>
      <c r="I396" s="349"/>
      <c r="J396" s="349"/>
      <c r="U396" s="349"/>
      <c r="V396" s="349"/>
      <c r="W396" s="349"/>
      <c r="X396" s="349"/>
    </row>
    <row r="397" spans="2:24" x14ac:dyDescent="0.2">
      <c r="G397" s="349"/>
      <c r="H397" s="349"/>
      <c r="I397" s="349"/>
      <c r="J397" s="349"/>
      <c r="U397" s="349"/>
      <c r="V397" s="349"/>
      <c r="W397" s="349"/>
      <c r="X397" s="349"/>
    </row>
    <row r="398" spans="2:24" x14ac:dyDescent="0.2">
      <c r="G398" s="349"/>
      <c r="H398" s="349"/>
      <c r="I398" s="349"/>
      <c r="J398" s="349"/>
      <c r="U398" s="349"/>
      <c r="V398" s="349"/>
      <c r="W398" s="349"/>
      <c r="X398" s="349"/>
    </row>
    <row r="399" spans="2:24" x14ac:dyDescent="0.2">
      <c r="G399" s="349"/>
      <c r="H399" s="349"/>
      <c r="I399" s="349"/>
      <c r="J399" s="349"/>
      <c r="U399" s="349"/>
      <c r="V399" s="349"/>
      <c r="W399" s="349"/>
      <c r="X399" s="349"/>
    </row>
    <row r="400" spans="2:24" x14ac:dyDescent="0.2">
      <c r="G400" s="349"/>
      <c r="H400" s="349"/>
      <c r="I400" s="349"/>
      <c r="J400" s="349"/>
      <c r="U400" s="349"/>
      <c r="V400" s="349"/>
      <c r="W400" s="349"/>
      <c r="X400" s="349"/>
    </row>
    <row r="401" spans="1:24" x14ac:dyDescent="0.2">
      <c r="G401" s="349"/>
      <c r="H401" s="349"/>
      <c r="I401" s="349"/>
      <c r="J401" s="349"/>
      <c r="U401" s="349"/>
      <c r="V401" s="349"/>
      <c r="W401" s="349"/>
      <c r="X401" s="349"/>
    </row>
    <row r="402" spans="1:24" x14ac:dyDescent="0.2">
      <c r="G402" s="349"/>
      <c r="H402" s="349"/>
      <c r="I402" s="349"/>
      <c r="J402" s="349"/>
      <c r="U402" s="349"/>
      <c r="V402" s="349"/>
      <c r="W402" s="349"/>
      <c r="X402" s="349"/>
    </row>
    <row r="403" spans="1:24" x14ac:dyDescent="0.2">
      <c r="G403" s="349"/>
      <c r="H403" s="349"/>
      <c r="I403" s="349"/>
      <c r="J403" s="349"/>
      <c r="U403" s="349"/>
      <c r="V403" s="349"/>
      <c r="W403" s="349"/>
      <c r="X403" s="349"/>
    </row>
    <row r="404" spans="1:24" ht="24.95" customHeight="1" x14ac:dyDescent="0.2">
      <c r="G404" s="349"/>
      <c r="H404" s="349"/>
      <c r="I404" s="349"/>
      <c r="J404" s="349"/>
      <c r="U404" s="349"/>
      <c r="V404" s="349"/>
      <c r="W404" s="349"/>
      <c r="X404" s="349"/>
    </row>
    <row r="405" spans="1:24" ht="24.95" customHeight="1" x14ac:dyDescent="0.3">
      <c r="A405" s="422" t="s">
        <v>51</v>
      </c>
      <c r="B405" s="422"/>
      <c r="C405" s="422"/>
      <c r="D405" s="422"/>
      <c r="E405" s="422"/>
      <c r="F405" s="422"/>
      <c r="G405" s="422"/>
      <c r="H405" s="422"/>
      <c r="I405" s="422"/>
      <c r="J405" s="422"/>
      <c r="O405" s="452" t="s">
        <v>51</v>
      </c>
      <c r="P405" s="452"/>
      <c r="Q405" s="452"/>
      <c r="R405" s="452"/>
      <c r="S405" s="452"/>
      <c r="T405" s="452"/>
      <c r="U405" s="452"/>
      <c r="V405" s="452"/>
      <c r="W405" s="452"/>
      <c r="X405" s="452"/>
    </row>
    <row r="406" spans="1:24" ht="24.95" customHeight="1" x14ac:dyDescent="0.3">
      <c r="A406" s="422" t="s">
        <v>53</v>
      </c>
      <c r="B406" s="422"/>
      <c r="C406" s="422"/>
      <c r="D406" s="422"/>
      <c r="E406" s="422"/>
      <c r="F406" s="422"/>
      <c r="G406" s="422"/>
      <c r="H406" s="422"/>
      <c r="I406" s="422"/>
      <c r="J406" s="422"/>
      <c r="O406" s="452" t="s">
        <v>53</v>
      </c>
      <c r="P406" s="452"/>
      <c r="Q406" s="452"/>
      <c r="R406" s="452"/>
      <c r="S406" s="452"/>
      <c r="T406" s="452"/>
      <c r="U406" s="452"/>
      <c r="V406" s="452"/>
      <c r="W406" s="452"/>
      <c r="X406" s="452"/>
    </row>
    <row r="407" spans="1:24" ht="24.95" customHeight="1" x14ac:dyDescent="0.3">
      <c r="A407" s="422" t="s">
        <v>114</v>
      </c>
      <c r="B407" s="422"/>
      <c r="C407" s="422"/>
      <c r="D407" s="422"/>
      <c r="E407" s="422"/>
      <c r="F407" s="422"/>
      <c r="G407" s="422"/>
      <c r="H407" s="422"/>
      <c r="I407" s="422"/>
      <c r="J407" s="422"/>
      <c r="O407" s="452" t="s">
        <v>52</v>
      </c>
      <c r="P407" s="452"/>
      <c r="Q407" s="452"/>
      <c r="R407" s="452"/>
      <c r="S407" s="452"/>
      <c r="T407" s="452"/>
      <c r="U407" s="452"/>
      <c r="V407" s="452"/>
      <c r="W407" s="452"/>
      <c r="X407" s="452"/>
    </row>
    <row r="408" spans="1:24" ht="24.95" customHeight="1" x14ac:dyDescent="0.2"/>
    <row r="409" spans="1:24" ht="24.95" customHeight="1" x14ac:dyDescent="0.2">
      <c r="A409" t="s">
        <v>0</v>
      </c>
      <c r="C409" t="s">
        <v>23</v>
      </c>
      <c r="O409" t="s">
        <v>0</v>
      </c>
      <c r="Q409" t="s">
        <v>23</v>
      </c>
    </row>
    <row r="410" spans="1:24" ht="24.95" customHeight="1" thickBot="1" x14ac:dyDescent="0.25"/>
    <row r="411" spans="1:24" ht="30" customHeight="1" thickTop="1" thickBot="1" x14ac:dyDescent="0.25">
      <c r="A411" s="1" t="s">
        <v>2</v>
      </c>
      <c r="B411" s="2" t="s">
        <v>3</v>
      </c>
      <c r="C411" s="2" t="s">
        <v>4</v>
      </c>
      <c r="D411" s="2" t="s">
        <v>5</v>
      </c>
      <c r="E411" s="2" t="s">
        <v>6</v>
      </c>
      <c r="F411" s="3" t="s">
        <v>47</v>
      </c>
      <c r="G411" s="3" t="s">
        <v>8</v>
      </c>
      <c r="H411" s="3" t="s">
        <v>9</v>
      </c>
      <c r="I411" s="3" t="s">
        <v>10</v>
      </c>
      <c r="J411" s="4" t="s">
        <v>11</v>
      </c>
      <c r="L411" s="370" t="s">
        <v>48</v>
      </c>
      <c r="O411" s="1" t="s">
        <v>2</v>
      </c>
      <c r="P411" s="2" t="s">
        <v>3</v>
      </c>
      <c r="Q411" s="2" t="s">
        <v>4</v>
      </c>
      <c r="R411" s="2" t="s">
        <v>5</v>
      </c>
      <c r="S411" s="2" t="s">
        <v>6</v>
      </c>
      <c r="T411" s="3" t="s">
        <v>47</v>
      </c>
      <c r="U411" s="3" t="s">
        <v>8</v>
      </c>
      <c r="V411" s="3" t="s">
        <v>9</v>
      </c>
      <c r="W411" s="3" t="s">
        <v>10</v>
      </c>
      <c r="X411" s="4" t="s">
        <v>11</v>
      </c>
    </row>
    <row r="412" spans="1:24" ht="24.95" customHeight="1" thickTop="1" thickBot="1" x14ac:dyDescent="0.3">
      <c r="A412" s="5">
        <v>1</v>
      </c>
      <c r="B412" s="6">
        <v>2</v>
      </c>
      <c r="C412" s="6">
        <v>3</v>
      </c>
      <c r="D412" s="6">
        <v>4</v>
      </c>
      <c r="E412" s="6">
        <v>5</v>
      </c>
      <c r="F412" s="6">
        <v>6</v>
      </c>
      <c r="G412" s="6">
        <v>7</v>
      </c>
      <c r="H412" s="6">
        <v>8</v>
      </c>
      <c r="I412" s="6">
        <v>9</v>
      </c>
      <c r="J412" s="7">
        <v>10</v>
      </c>
      <c r="L412" s="45"/>
      <c r="O412" s="5">
        <v>1</v>
      </c>
      <c r="P412" s="6">
        <v>2</v>
      </c>
      <c r="Q412" s="6">
        <v>3</v>
      </c>
      <c r="R412" s="6">
        <v>4</v>
      </c>
      <c r="S412" s="6">
        <v>5</v>
      </c>
      <c r="T412" s="6">
        <v>6</v>
      </c>
      <c r="U412" s="6">
        <v>7</v>
      </c>
      <c r="V412" s="6">
        <v>8</v>
      </c>
      <c r="W412" s="6">
        <v>9</v>
      </c>
      <c r="X412" s="7">
        <v>10</v>
      </c>
    </row>
    <row r="413" spans="1:24" ht="24.95" customHeight="1" thickTop="1" x14ac:dyDescent="0.2">
      <c r="A413" s="55">
        <v>1</v>
      </c>
      <c r="B413" s="50" t="s">
        <v>82</v>
      </c>
      <c r="C413" s="175">
        <v>0</v>
      </c>
      <c r="D413" s="175">
        <v>0</v>
      </c>
      <c r="E413" s="175">
        <v>0</v>
      </c>
      <c r="F413" s="175">
        <v>0</v>
      </c>
      <c r="G413" s="175">
        <v>0</v>
      </c>
      <c r="H413" s="175">
        <v>0</v>
      </c>
      <c r="I413" s="175">
        <v>0</v>
      </c>
      <c r="J413" s="176"/>
      <c r="O413" s="55">
        <v>1</v>
      </c>
      <c r="P413" s="50" t="s">
        <v>82</v>
      </c>
      <c r="Q413" s="175">
        <v>0</v>
      </c>
      <c r="R413" s="175">
        <v>0</v>
      </c>
      <c r="S413" s="175">
        <v>0</v>
      </c>
      <c r="T413" s="175">
        <v>0</v>
      </c>
      <c r="U413" s="175">
        <v>0</v>
      </c>
      <c r="V413" s="175">
        <v>0</v>
      </c>
      <c r="W413" s="175">
        <v>0</v>
      </c>
      <c r="X413" s="96"/>
    </row>
    <row r="414" spans="1:24" ht="24.95" customHeight="1" x14ac:dyDescent="0.2">
      <c r="A414" s="56">
        <v>2</v>
      </c>
      <c r="B414" s="51" t="s">
        <v>61</v>
      </c>
      <c r="C414" s="143">
        <v>0</v>
      </c>
      <c r="D414" s="143">
        <v>0</v>
      </c>
      <c r="E414" s="143">
        <v>0</v>
      </c>
      <c r="F414" s="143">
        <v>0</v>
      </c>
      <c r="G414" s="143">
        <v>0</v>
      </c>
      <c r="H414" s="143">
        <v>0</v>
      </c>
      <c r="I414" s="143">
        <v>0</v>
      </c>
      <c r="J414" s="177"/>
      <c r="O414" s="56">
        <v>2</v>
      </c>
      <c r="P414" s="51" t="s">
        <v>61</v>
      </c>
      <c r="Q414" s="143">
        <v>0</v>
      </c>
      <c r="R414" s="143">
        <v>0</v>
      </c>
      <c r="S414" s="143">
        <v>0</v>
      </c>
      <c r="T414" s="143">
        <v>0</v>
      </c>
      <c r="U414" s="143">
        <v>0</v>
      </c>
      <c r="V414" s="143">
        <v>0</v>
      </c>
      <c r="W414" s="143">
        <v>0</v>
      </c>
      <c r="X414" s="90"/>
    </row>
    <row r="415" spans="1:24" ht="24.95" customHeight="1" x14ac:dyDescent="0.2">
      <c r="A415" s="57">
        <v>3</v>
      </c>
      <c r="B415" s="52" t="s">
        <v>75</v>
      </c>
      <c r="C415" s="178">
        <v>0</v>
      </c>
      <c r="D415" s="178">
        <v>0</v>
      </c>
      <c r="E415" s="178">
        <v>0</v>
      </c>
      <c r="F415" s="178">
        <v>0</v>
      </c>
      <c r="G415" s="178">
        <v>0</v>
      </c>
      <c r="H415" s="178">
        <v>0</v>
      </c>
      <c r="I415" s="178">
        <v>0</v>
      </c>
      <c r="J415" s="177"/>
      <c r="O415" s="57">
        <v>3</v>
      </c>
      <c r="P415" s="52" t="s">
        <v>75</v>
      </c>
      <c r="Q415" s="178">
        <v>0</v>
      </c>
      <c r="R415" s="178">
        <v>0</v>
      </c>
      <c r="S415" s="178">
        <v>0</v>
      </c>
      <c r="T415" s="178">
        <v>0</v>
      </c>
      <c r="U415" s="178">
        <v>0</v>
      </c>
      <c r="V415" s="178">
        <v>0</v>
      </c>
      <c r="W415" s="178">
        <v>0</v>
      </c>
      <c r="X415" s="90"/>
    </row>
    <row r="416" spans="1:24" ht="24.95" customHeight="1" x14ac:dyDescent="0.2">
      <c r="A416" s="57">
        <v>4</v>
      </c>
      <c r="B416" s="268" t="s">
        <v>68</v>
      </c>
      <c r="C416" s="143" t="s">
        <v>12</v>
      </c>
      <c r="D416" s="146" t="s">
        <v>12</v>
      </c>
      <c r="E416" s="267" t="s">
        <v>12</v>
      </c>
      <c r="F416" s="146" t="str">
        <f>E416</f>
        <v>-</v>
      </c>
      <c r="G416" s="144" t="s">
        <v>12</v>
      </c>
      <c r="H416" s="127" t="s">
        <v>12</v>
      </c>
      <c r="I416" s="143">
        <v>0</v>
      </c>
      <c r="J416" s="177"/>
      <c r="L416" s="13"/>
      <c r="O416" s="57">
        <v>4</v>
      </c>
      <c r="P416" s="52" t="s">
        <v>68</v>
      </c>
      <c r="Q416" s="143" t="s">
        <v>12</v>
      </c>
      <c r="R416" s="146" t="s">
        <v>12</v>
      </c>
      <c r="S416" s="267" t="s">
        <v>12</v>
      </c>
      <c r="T416" s="146" t="str">
        <f>S416</f>
        <v>-</v>
      </c>
      <c r="U416" s="144" t="s">
        <v>12</v>
      </c>
      <c r="V416" s="127" t="s">
        <v>12</v>
      </c>
      <c r="W416" s="143">
        <v>0</v>
      </c>
      <c r="X416" s="90"/>
    </row>
    <row r="417" spans="1:24" ht="24.95" customHeight="1" x14ac:dyDescent="0.2">
      <c r="A417" s="57">
        <v>5</v>
      </c>
      <c r="B417" s="53" t="s">
        <v>66</v>
      </c>
      <c r="C417" s="143">
        <v>0</v>
      </c>
      <c r="D417" s="143">
        <v>1</v>
      </c>
      <c r="E417" s="143">
        <v>28</v>
      </c>
      <c r="F417" s="143">
        <f>E417+D417</f>
        <v>29</v>
      </c>
      <c r="G417" s="154">
        <v>0.21</v>
      </c>
      <c r="H417" s="143">
        <f>G417/D417*1000</f>
        <v>210</v>
      </c>
      <c r="I417" s="143">
        <v>105</v>
      </c>
      <c r="J417" s="177"/>
      <c r="O417" s="57">
        <v>5</v>
      </c>
      <c r="P417" s="53" t="s">
        <v>66</v>
      </c>
      <c r="Q417" s="143">
        <v>0</v>
      </c>
      <c r="R417" s="143">
        <v>1</v>
      </c>
      <c r="S417" s="143">
        <v>28</v>
      </c>
      <c r="T417" s="143">
        <f>S417+R417</f>
        <v>29</v>
      </c>
      <c r="U417" s="154">
        <f>V417/1000*R417</f>
        <v>0.20799999999999999</v>
      </c>
      <c r="V417" s="143">
        <v>208</v>
      </c>
      <c r="W417" s="143">
        <v>105</v>
      </c>
      <c r="X417" s="90"/>
    </row>
    <row r="418" spans="1:24" ht="24.95" customHeight="1" x14ac:dyDescent="0.2">
      <c r="A418" s="57">
        <v>6</v>
      </c>
      <c r="B418" s="52" t="s">
        <v>67</v>
      </c>
      <c r="C418" s="143">
        <v>0</v>
      </c>
      <c r="D418" s="143">
        <v>0</v>
      </c>
      <c r="E418" s="143">
        <v>0</v>
      </c>
      <c r="F418" s="143">
        <v>0</v>
      </c>
      <c r="G418" s="143">
        <v>0</v>
      </c>
      <c r="H418" s="143">
        <v>0</v>
      </c>
      <c r="I418" s="143">
        <v>0</v>
      </c>
      <c r="J418" s="177"/>
      <c r="O418" s="57">
        <v>6</v>
      </c>
      <c r="P418" s="52" t="s">
        <v>67</v>
      </c>
      <c r="Q418" s="143">
        <v>0</v>
      </c>
      <c r="R418" s="143">
        <v>0</v>
      </c>
      <c r="S418" s="143">
        <v>0</v>
      </c>
      <c r="T418" s="143">
        <v>0</v>
      </c>
      <c r="U418" s="143">
        <v>0</v>
      </c>
      <c r="V418" s="143">
        <v>0</v>
      </c>
      <c r="W418" s="143">
        <v>0</v>
      </c>
      <c r="X418" s="90"/>
    </row>
    <row r="419" spans="1:24" ht="24.95" customHeight="1" x14ac:dyDescent="0.2">
      <c r="A419" s="57">
        <v>7</v>
      </c>
      <c r="B419" s="52" t="s">
        <v>69</v>
      </c>
      <c r="C419" s="143">
        <v>0</v>
      </c>
      <c r="D419" s="143">
        <v>0</v>
      </c>
      <c r="E419" s="143">
        <v>0</v>
      </c>
      <c r="F419" s="143">
        <v>0</v>
      </c>
      <c r="G419" s="143">
        <v>0</v>
      </c>
      <c r="H419" s="143">
        <v>0</v>
      </c>
      <c r="I419" s="143">
        <v>0</v>
      </c>
      <c r="J419" s="177"/>
      <c r="O419" s="57">
        <v>7</v>
      </c>
      <c r="P419" s="52" t="s">
        <v>69</v>
      </c>
      <c r="Q419" s="143">
        <v>0</v>
      </c>
      <c r="R419" s="143">
        <v>0</v>
      </c>
      <c r="S419" s="143">
        <v>0</v>
      </c>
      <c r="T419" s="143">
        <v>0</v>
      </c>
      <c r="U419" s="143">
        <v>0</v>
      </c>
      <c r="V419" s="143">
        <v>0</v>
      </c>
      <c r="W419" s="143">
        <v>0</v>
      </c>
      <c r="X419" s="90"/>
    </row>
    <row r="420" spans="1:24" ht="24.95" customHeight="1" x14ac:dyDescent="0.2">
      <c r="A420" s="57">
        <v>8</v>
      </c>
      <c r="B420" s="52" t="s">
        <v>70</v>
      </c>
      <c r="C420" s="143">
        <v>0</v>
      </c>
      <c r="D420" s="143">
        <v>0</v>
      </c>
      <c r="E420" s="143">
        <v>0</v>
      </c>
      <c r="F420" s="143">
        <v>0</v>
      </c>
      <c r="G420" s="143">
        <v>0</v>
      </c>
      <c r="H420" s="143">
        <v>0</v>
      </c>
      <c r="I420" s="143">
        <v>0</v>
      </c>
      <c r="J420" s="177"/>
      <c r="O420" s="57">
        <v>8</v>
      </c>
      <c r="P420" s="52" t="s">
        <v>70</v>
      </c>
      <c r="Q420" s="143">
        <v>0</v>
      </c>
      <c r="R420" s="143">
        <v>0</v>
      </c>
      <c r="S420" s="143">
        <v>0</v>
      </c>
      <c r="T420" s="143">
        <v>0</v>
      </c>
      <c r="U420" s="143">
        <v>0</v>
      </c>
      <c r="V420" s="143">
        <v>0</v>
      </c>
      <c r="W420" s="143">
        <v>0</v>
      </c>
      <c r="X420" s="90"/>
    </row>
    <row r="421" spans="1:24" ht="24.95" customHeight="1" x14ac:dyDescent="0.2">
      <c r="A421" s="57">
        <v>9</v>
      </c>
      <c r="B421" s="52" t="s">
        <v>71</v>
      </c>
      <c r="C421" s="143">
        <v>0</v>
      </c>
      <c r="D421" s="143">
        <v>0</v>
      </c>
      <c r="E421" s="143">
        <v>0</v>
      </c>
      <c r="F421" s="143">
        <v>0</v>
      </c>
      <c r="G421" s="143">
        <v>0</v>
      </c>
      <c r="H421" s="143">
        <v>0</v>
      </c>
      <c r="I421" s="143">
        <v>0</v>
      </c>
      <c r="J421" s="177"/>
      <c r="O421" s="57">
        <v>9</v>
      </c>
      <c r="P421" s="52" t="s">
        <v>71</v>
      </c>
      <c r="Q421" s="143">
        <v>0</v>
      </c>
      <c r="R421" s="143">
        <v>0</v>
      </c>
      <c r="S421" s="143">
        <v>0</v>
      </c>
      <c r="T421" s="143">
        <v>0</v>
      </c>
      <c r="U421" s="143">
        <v>0</v>
      </c>
      <c r="V421" s="143">
        <v>0</v>
      </c>
      <c r="W421" s="143">
        <v>0</v>
      </c>
      <c r="X421" s="90"/>
    </row>
    <row r="422" spans="1:24" ht="24.95" customHeight="1" x14ac:dyDescent="0.2">
      <c r="A422" s="57">
        <v>10</v>
      </c>
      <c r="B422" s="52" t="s">
        <v>72</v>
      </c>
      <c r="C422" s="143">
        <v>0</v>
      </c>
      <c r="D422" s="143">
        <v>0</v>
      </c>
      <c r="E422" s="143">
        <v>0</v>
      </c>
      <c r="F422" s="143">
        <v>0</v>
      </c>
      <c r="G422" s="143">
        <v>0</v>
      </c>
      <c r="H422" s="143">
        <v>0</v>
      </c>
      <c r="I422" s="143">
        <v>0</v>
      </c>
      <c r="J422" s="177"/>
      <c r="O422" s="57">
        <v>10</v>
      </c>
      <c r="P422" s="52" t="s">
        <v>72</v>
      </c>
      <c r="Q422" s="143">
        <v>0</v>
      </c>
      <c r="R422" s="143">
        <v>0</v>
      </c>
      <c r="S422" s="143">
        <v>0</v>
      </c>
      <c r="T422" s="143">
        <v>0</v>
      </c>
      <c r="U422" s="143">
        <v>0</v>
      </c>
      <c r="V422" s="143">
        <v>0</v>
      </c>
      <c r="W422" s="143">
        <v>0</v>
      </c>
      <c r="X422" s="90"/>
    </row>
    <row r="423" spans="1:24" ht="24.95" customHeight="1" thickBot="1" x14ac:dyDescent="0.25">
      <c r="A423" s="57">
        <v>11</v>
      </c>
      <c r="B423" s="54" t="s">
        <v>73</v>
      </c>
      <c r="C423" s="157">
        <v>0</v>
      </c>
      <c r="D423" s="157">
        <v>0</v>
      </c>
      <c r="E423" s="157">
        <v>0</v>
      </c>
      <c r="F423" s="157">
        <v>0</v>
      </c>
      <c r="G423" s="157">
        <v>0</v>
      </c>
      <c r="H423" s="157">
        <v>0</v>
      </c>
      <c r="I423" s="157">
        <v>0</v>
      </c>
      <c r="J423" s="179"/>
      <c r="O423" s="57">
        <v>11</v>
      </c>
      <c r="P423" s="54" t="s">
        <v>73</v>
      </c>
      <c r="Q423" s="157">
        <v>0</v>
      </c>
      <c r="R423" s="157">
        <v>0</v>
      </c>
      <c r="S423" s="157">
        <v>0</v>
      </c>
      <c r="T423" s="157">
        <v>0</v>
      </c>
      <c r="U423" s="157">
        <v>0</v>
      </c>
      <c r="V423" s="157">
        <v>0</v>
      </c>
      <c r="W423" s="157">
        <v>0</v>
      </c>
      <c r="X423" s="133"/>
    </row>
    <row r="424" spans="1:24" ht="24.95" customHeight="1" thickTop="1" thickBot="1" x14ac:dyDescent="0.25">
      <c r="A424" s="454" t="s">
        <v>13</v>
      </c>
      <c r="B424" s="455"/>
      <c r="C424" s="164">
        <f>SUM(C413:C423)</f>
        <v>0</v>
      </c>
      <c r="D424" s="165">
        <f>SUM(D413:D423)</f>
        <v>1</v>
      </c>
      <c r="E424" s="180">
        <f>SUM(E413:E423)</f>
        <v>28</v>
      </c>
      <c r="F424" s="181">
        <f>SUM(F413:F423)</f>
        <v>29</v>
      </c>
      <c r="G424" s="182">
        <f>SUM(G413:G423)</f>
        <v>0.21</v>
      </c>
      <c r="H424" s="165">
        <v>210</v>
      </c>
      <c r="I424" s="166">
        <f>SUM(I413:I423)</f>
        <v>105</v>
      </c>
      <c r="J424" s="169"/>
      <c r="O424" s="454" t="s">
        <v>13</v>
      </c>
      <c r="P424" s="455"/>
      <c r="Q424" s="164">
        <f>SUM(Q413:Q423)</f>
        <v>0</v>
      </c>
      <c r="R424" s="165">
        <f>SUM(R413:R423)</f>
        <v>1</v>
      </c>
      <c r="S424" s="180">
        <f>SUM(S413:S423)</f>
        <v>28</v>
      </c>
      <c r="T424" s="181">
        <f>SUM(T413:T423)</f>
        <v>29</v>
      </c>
      <c r="U424" s="182">
        <f>SUM(U413:U423)</f>
        <v>0.20799999999999999</v>
      </c>
      <c r="V424" s="165">
        <v>208</v>
      </c>
      <c r="W424" s="166">
        <f>SUM(W413:W423)</f>
        <v>105</v>
      </c>
      <c r="X424" s="12"/>
    </row>
    <row r="425" spans="1:24" ht="24.95" customHeight="1" thickTop="1" x14ac:dyDescent="0.2">
      <c r="D425" s="13">
        <f>D424-R424</f>
        <v>0</v>
      </c>
      <c r="E425" s="224">
        <f>E424-S424</f>
        <v>0</v>
      </c>
      <c r="F425" s="224">
        <f>F424-T424</f>
        <v>0</v>
      </c>
      <c r="H425">
        <f>G424/D424*1000</f>
        <v>210</v>
      </c>
      <c r="I425" s="13">
        <f>I424-W424</f>
        <v>0</v>
      </c>
    </row>
    <row r="426" spans="1:24" ht="24.95" customHeight="1" x14ac:dyDescent="0.2">
      <c r="B426" s="208" t="s">
        <v>4</v>
      </c>
      <c r="C426" s="209" t="s">
        <v>63</v>
      </c>
      <c r="D426" s="211"/>
      <c r="E426" s="119"/>
      <c r="F426" s="21"/>
      <c r="G426" s="45"/>
      <c r="P426" s="38"/>
      <c r="Q426" s="21"/>
      <c r="R426" s="21"/>
      <c r="S426" s="39"/>
      <c r="T426" s="21"/>
      <c r="U426" s="45" t="s">
        <v>112</v>
      </c>
    </row>
    <row r="427" spans="1:24" ht="24.95" customHeight="1" x14ac:dyDescent="0.2">
      <c r="B427" s="208" t="s">
        <v>5</v>
      </c>
      <c r="C427" s="209" t="s">
        <v>64</v>
      </c>
      <c r="D427" s="211"/>
      <c r="E427" s="211"/>
      <c r="G427" s="409"/>
      <c r="H427" s="410"/>
      <c r="I427" s="410"/>
      <c r="J427" s="410"/>
      <c r="U427" s="47" t="s">
        <v>38</v>
      </c>
      <c r="V427" s="46"/>
      <c r="W427" s="46"/>
      <c r="X427" s="46"/>
    </row>
    <row r="428" spans="1:24" ht="24.95" customHeight="1" x14ac:dyDescent="0.2">
      <c r="B428" s="208" t="s">
        <v>6</v>
      </c>
      <c r="C428" s="209" t="s">
        <v>65</v>
      </c>
      <c r="D428" s="211"/>
      <c r="E428" s="211"/>
      <c r="G428" s="45"/>
      <c r="U428" s="45" t="s">
        <v>113</v>
      </c>
    </row>
    <row r="429" spans="1:24" ht="24.95" customHeight="1" x14ac:dyDescent="0.2">
      <c r="G429" s="409"/>
      <c r="H429" s="409"/>
      <c r="I429" s="409"/>
      <c r="J429" s="409"/>
      <c r="U429" s="409"/>
      <c r="V429" s="409"/>
      <c r="W429" s="409"/>
      <c r="X429" s="409"/>
    </row>
    <row r="430" spans="1:24" ht="24.95" customHeight="1" x14ac:dyDescent="0.2">
      <c r="G430" s="349"/>
      <c r="H430" s="349"/>
      <c r="I430" s="349"/>
      <c r="J430" s="349"/>
      <c r="U430" s="349"/>
      <c r="V430" s="349"/>
      <c r="W430" s="349"/>
      <c r="X430" s="349"/>
    </row>
    <row r="431" spans="1:24" ht="24.95" customHeight="1" x14ac:dyDescent="0.2">
      <c r="G431" s="410"/>
      <c r="H431" s="410"/>
      <c r="I431" s="410"/>
      <c r="J431" s="410"/>
      <c r="U431" s="410"/>
      <c r="V431" s="410"/>
      <c r="W431" s="410"/>
      <c r="X431" s="410"/>
    </row>
    <row r="432" spans="1:24" ht="24.95" customHeight="1" x14ac:dyDescent="0.2">
      <c r="G432" s="410"/>
      <c r="H432" s="410"/>
      <c r="I432" s="410"/>
      <c r="J432" s="410"/>
      <c r="U432" s="410"/>
      <c r="V432" s="410"/>
      <c r="W432" s="410"/>
      <c r="X432" s="410"/>
    </row>
    <row r="433" spans="1:24" ht="24.95" customHeight="1" x14ac:dyDescent="0.2"/>
    <row r="434" spans="1:24" ht="24.95" customHeight="1" x14ac:dyDescent="0.2"/>
    <row r="435" spans="1:24" ht="24.95" customHeight="1" x14ac:dyDescent="0.25">
      <c r="G435" s="407"/>
      <c r="H435" s="407"/>
      <c r="I435" s="407"/>
      <c r="J435" s="407"/>
      <c r="U435" s="407"/>
      <c r="V435" s="407"/>
      <c r="W435" s="407"/>
      <c r="X435" s="407"/>
    </row>
    <row r="436" spans="1:24" ht="24.95" customHeight="1" x14ac:dyDescent="0.2">
      <c r="G436" s="410"/>
      <c r="H436" s="410"/>
      <c r="I436" s="410"/>
      <c r="J436" s="410"/>
      <c r="U436" s="410"/>
      <c r="V436" s="410"/>
      <c r="W436" s="410"/>
      <c r="X436" s="410"/>
    </row>
    <row r="437" spans="1:24" ht="24.95" customHeight="1" x14ac:dyDescent="0.2">
      <c r="G437" s="349"/>
      <c r="H437" s="349"/>
      <c r="I437" s="349"/>
      <c r="J437" s="349"/>
      <c r="U437" s="349"/>
      <c r="V437" s="349"/>
      <c r="W437" s="349"/>
      <c r="X437" s="349"/>
    </row>
    <row r="438" spans="1:24" ht="24.95" customHeight="1" x14ac:dyDescent="0.2">
      <c r="G438" s="349"/>
      <c r="H438" s="349"/>
      <c r="I438" s="349"/>
      <c r="J438" s="349"/>
      <c r="U438" s="349"/>
      <c r="V438" s="349"/>
      <c r="W438" s="349"/>
      <c r="X438" s="349"/>
    </row>
    <row r="439" spans="1:24" ht="24.95" customHeight="1" x14ac:dyDescent="0.2">
      <c r="G439" s="349"/>
      <c r="H439" s="349"/>
      <c r="I439" s="349"/>
      <c r="J439" s="349"/>
      <c r="U439" s="349"/>
      <c r="V439" s="349"/>
      <c r="W439" s="349"/>
      <c r="X439" s="349"/>
    </row>
    <row r="440" spans="1:24" ht="24.95" customHeight="1" x14ac:dyDescent="0.2">
      <c r="G440" s="349"/>
      <c r="H440" s="349"/>
      <c r="I440" s="349"/>
      <c r="J440" s="349"/>
      <c r="U440" s="349"/>
      <c r="V440" s="349"/>
      <c r="W440" s="349"/>
      <c r="X440" s="349"/>
    </row>
    <row r="441" spans="1:24" ht="24.95" customHeight="1" x14ac:dyDescent="0.2">
      <c r="G441" s="349"/>
      <c r="H441" s="349"/>
      <c r="I441" s="349"/>
      <c r="J441" s="349"/>
      <c r="U441" s="349"/>
      <c r="V441" s="349"/>
      <c r="W441" s="349"/>
      <c r="X441" s="349"/>
    </row>
    <row r="442" spans="1:24" ht="24.95" customHeight="1" x14ac:dyDescent="0.3">
      <c r="A442" s="422" t="s">
        <v>51</v>
      </c>
      <c r="B442" s="422"/>
      <c r="C442" s="422"/>
      <c r="D442" s="422"/>
      <c r="E442" s="422"/>
      <c r="F442" s="422"/>
      <c r="G442" s="422"/>
      <c r="H442" s="422"/>
      <c r="I442" s="422"/>
      <c r="J442" s="422"/>
      <c r="O442" s="452" t="s">
        <v>51</v>
      </c>
      <c r="P442" s="452"/>
      <c r="Q442" s="452"/>
      <c r="R442" s="452"/>
      <c r="S442" s="452"/>
      <c r="T442" s="452"/>
      <c r="U442" s="452"/>
      <c r="V442" s="452"/>
      <c r="W442" s="452"/>
      <c r="X442" s="452"/>
    </row>
    <row r="443" spans="1:24" ht="24.95" customHeight="1" x14ac:dyDescent="0.3">
      <c r="A443" s="422" t="s">
        <v>53</v>
      </c>
      <c r="B443" s="422"/>
      <c r="C443" s="422"/>
      <c r="D443" s="422"/>
      <c r="E443" s="422"/>
      <c r="F443" s="422"/>
      <c r="G443" s="422"/>
      <c r="H443" s="422"/>
      <c r="I443" s="422"/>
      <c r="J443" s="422"/>
      <c r="O443" s="452" t="s">
        <v>53</v>
      </c>
      <c r="P443" s="452"/>
      <c r="Q443" s="452"/>
      <c r="R443" s="452"/>
      <c r="S443" s="452"/>
      <c r="T443" s="452"/>
      <c r="U443" s="452"/>
      <c r="V443" s="452"/>
      <c r="W443" s="452"/>
      <c r="X443" s="452"/>
    </row>
    <row r="444" spans="1:24" ht="24.95" customHeight="1" x14ac:dyDescent="0.3">
      <c r="A444" s="422" t="s">
        <v>114</v>
      </c>
      <c r="B444" s="422"/>
      <c r="C444" s="422"/>
      <c r="D444" s="422"/>
      <c r="E444" s="422"/>
      <c r="F444" s="422"/>
      <c r="G444" s="422"/>
      <c r="H444" s="422"/>
      <c r="I444" s="422"/>
      <c r="J444" s="422"/>
      <c r="O444" s="452" t="s">
        <v>52</v>
      </c>
      <c r="P444" s="452"/>
      <c r="Q444" s="452"/>
      <c r="R444" s="452"/>
      <c r="S444" s="452"/>
      <c r="T444" s="452"/>
      <c r="U444" s="452"/>
      <c r="V444" s="452"/>
      <c r="W444" s="452"/>
      <c r="X444" s="452"/>
    </row>
    <row r="445" spans="1:24" ht="24.95" customHeight="1" x14ac:dyDescent="0.2"/>
    <row r="446" spans="1:24" ht="24.95" customHeight="1" x14ac:dyDescent="0.2">
      <c r="A446" t="s">
        <v>0</v>
      </c>
      <c r="C446" t="s">
        <v>49</v>
      </c>
      <c r="O446" t="s">
        <v>0</v>
      </c>
      <c r="Q446" t="s">
        <v>49</v>
      </c>
    </row>
    <row r="447" spans="1:24" ht="24.95" customHeight="1" thickBot="1" x14ac:dyDescent="0.25">
      <c r="A447" s="45"/>
      <c r="E447" s="45"/>
      <c r="O447" s="45"/>
      <c r="S447" s="45"/>
    </row>
    <row r="448" spans="1:24" ht="24.95" customHeight="1" thickTop="1" thickBot="1" x14ac:dyDescent="0.25">
      <c r="A448" s="1" t="s">
        <v>2</v>
      </c>
      <c r="B448" s="2" t="s">
        <v>3</v>
      </c>
      <c r="C448" s="2" t="s">
        <v>4</v>
      </c>
      <c r="D448" s="2" t="s">
        <v>5</v>
      </c>
      <c r="E448" s="2" t="s">
        <v>6</v>
      </c>
      <c r="F448" s="3" t="s">
        <v>43</v>
      </c>
      <c r="G448" s="3" t="s">
        <v>8</v>
      </c>
      <c r="H448" s="3" t="s">
        <v>9</v>
      </c>
      <c r="I448" s="3" t="s">
        <v>10</v>
      </c>
      <c r="J448" s="4" t="s">
        <v>11</v>
      </c>
      <c r="L448" s="370" t="s">
        <v>48</v>
      </c>
      <c r="O448" s="1" t="s">
        <v>2</v>
      </c>
      <c r="P448" s="2" t="s">
        <v>3</v>
      </c>
      <c r="Q448" s="2" t="s">
        <v>4</v>
      </c>
      <c r="R448" s="2" t="s">
        <v>5</v>
      </c>
      <c r="S448" s="2" t="s">
        <v>6</v>
      </c>
      <c r="T448" s="3" t="s">
        <v>43</v>
      </c>
      <c r="U448" s="3" t="s">
        <v>8</v>
      </c>
      <c r="V448" s="3" t="s">
        <v>9</v>
      </c>
      <c r="W448" s="3" t="s">
        <v>10</v>
      </c>
      <c r="X448" s="4" t="s">
        <v>11</v>
      </c>
    </row>
    <row r="449" spans="1:24" ht="24.95" customHeight="1" thickTop="1" thickBot="1" x14ac:dyDescent="0.3">
      <c r="A449" s="5">
        <v>1</v>
      </c>
      <c r="B449" s="6">
        <v>2</v>
      </c>
      <c r="C449" s="6">
        <v>3</v>
      </c>
      <c r="D449" s="6">
        <v>4</v>
      </c>
      <c r="E449" s="6">
        <v>5</v>
      </c>
      <c r="F449" s="6">
        <v>6</v>
      </c>
      <c r="G449" s="6">
        <v>7</v>
      </c>
      <c r="H449" s="6">
        <v>8</v>
      </c>
      <c r="I449" s="6">
        <v>9</v>
      </c>
      <c r="J449" s="7">
        <v>10</v>
      </c>
      <c r="O449" s="5">
        <v>1</v>
      </c>
      <c r="P449" s="6">
        <v>2</v>
      </c>
      <c r="Q449" s="6">
        <v>3</v>
      </c>
      <c r="R449" s="6">
        <v>4</v>
      </c>
      <c r="S449" s="6">
        <v>5</v>
      </c>
      <c r="T449" s="6">
        <v>6</v>
      </c>
      <c r="U449" s="6">
        <v>7</v>
      </c>
      <c r="V449" s="6">
        <v>8</v>
      </c>
      <c r="W449" s="6">
        <v>9</v>
      </c>
      <c r="X449" s="7">
        <v>10</v>
      </c>
    </row>
    <row r="450" spans="1:24" ht="24.95" customHeight="1" thickTop="1" x14ac:dyDescent="0.2">
      <c r="A450" s="55">
        <v>1</v>
      </c>
      <c r="B450" s="50" t="s">
        <v>82</v>
      </c>
      <c r="C450" s="172" t="s">
        <v>12</v>
      </c>
      <c r="D450" s="172" t="s">
        <v>12</v>
      </c>
      <c r="E450" s="172" t="s">
        <v>12</v>
      </c>
      <c r="F450" s="172" t="s">
        <v>12</v>
      </c>
      <c r="G450" s="172" t="s">
        <v>12</v>
      </c>
      <c r="H450" s="172" t="s">
        <v>12</v>
      </c>
      <c r="I450" s="172" t="s">
        <v>12</v>
      </c>
      <c r="J450" s="113"/>
      <c r="O450" s="55">
        <v>1</v>
      </c>
      <c r="P450" s="50" t="s">
        <v>82</v>
      </c>
      <c r="Q450" s="172" t="s">
        <v>12</v>
      </c>
      <c r="R450" s="172" t="s">
        <v>12</v>
      </c>
      <c r="S450" s="172" t="s">
        <v>12</v>
      </c>
      <c r="T450" s="172" t="s">
        <v>12</v>
      </c>
      <c r="U450" s="172" t="s">
        <v>12</v>
      </c>
      <c r="V450" s="172" t="s">
        <v>12</v>
      </c>
      <c r="W450" s="172" t="s">
        <v>12</v>
      </c>
      <c r="X450" s="96"/>
    </row>
    <row r="451" spans="1:24" ht="24.95" customHeight="1" x14ac:dyDescent="0.2">
      <c r="A451" s="56">
        <v>2</v>
      </c>
      <c r="B451" s="51" t="s">
        <v>61</v>
      </c>
      <c r="C451" s="173" t="s">
        <v>12</v>
      </c>
      <c r="D451" s="173" t="s">
        <v>12</v>
      </c>
      <c r="E451" s="126">
        <v>0</v>
      </c>
      <c r="F451" s="173" t="s">
        <v>12</v>
      </c>
      <c r="G451" s="173" t="s">
        <v>12</v>
      </c>
      <c r="H451" s="129" t="s">
        <v>12</v>
      </c>
      <c r="I451" s="173" t="s">
        <v>12</v>
      </c>
      <c r="J451" s="115"/>
      <c r="O451" s="56">
        <v>2</v>
      </c>
      <c r="P451" s="51" t="s">
        <v>61</v>
      </c>
      <c r="Q451" s="173" t="s">
        <v>12</v>
      </c>
      <c r="R451" s="173" t="s">
        <v>12</v>
      </c>
      <c r="S451" s="126">
        <v>0</v>
      </c>
      <c r="T451" s="173" t="s">
        <v>12</v>
      </c>
      <c r="U451" s="173" t="s">
        <v>12</v>
      </c>
      <c r="V451" s="129" t="s">
        <v>12</v>
      </c>
      <c r="W451" s="173" t="s">
        <v>12</v>
      </c>
      <c r="X451" s="90"/>
    </row>
    <row r="452" spans="1:24" ht="24.95" customHeight="1" x14ac:dyDescent="0.2">
      <c r="A452" s="57">
        <v>3</v>
      </c>
      <c r="B452" s="52" t="s">
        <v>75</v>
      </c>
      <c r="C452" s="173" t="s">
        <v>12</v>
      </c>
      <c r="D452" s="173" t="s">
        <v>12</v>
      </c>
      <c r="E452" s="126">
        <v>0</v>
      </c>
      <c r="F452" s="173" t="s">
        <v>12</v>
      </c>
      <c r="G452" s="173" t="s">
        <v>12</v>
      </c>
      <c r="H452" s="129" t="s">
        <v>12</v>
      </c>
      <c r="I452" s="173" t="s">
        <v>12</v>
      </c>
      <c r="J452" s="115"/>
      <c r="O452" s="57">
        <v>3</v>
      </c>
      <c r="P452" s="52" t="s">
        <v>75</v>
      </c>
      <c r="Q452" s="173" t="s">
        <v>12</v>
      </c>
      <c r="R452" s="173" t="s">
        <v>12</v>
      </c>
      <c r="S452" s="126">
        <v>0</v>
      </c>
      <c r="T452" s="173" t="s">
        <v>12</v>
      </c>
      <c r="U452" s="173" t="s">
        <v>12</v>
      </c>
      <c r="V452" s="129" t="s">
        <v>12</v>
      </c>
      <c r="W452" s="173" t="s">
        <v>12</v>
      </c>
      <c r="X452" s="90"/>
    </row>
    <row r="453" spans="1:24" ht="24.95" customHeight="1" x14ac:dyDescent="0.2">
      <c r="A453" s="57">
        <v>4</v>
      </c>
      <c r="B453" s="52" t="s">
        <v>68</v>
      </c>
      <c r="C453" s="173" t="s">
        <v>12</v>
      </c>
      <c r="D453" s="173" t="s">
        <v>12</v>
      </c>
      <c r="E453" s="126">
        <v>0</v>
      </c>
      <c r="F453" s="173" t="s">
        <v>12</v>
      </c>
      <c r="G453" s="173" t="s">
        <v>12</v>
      </c>
      <c r="H453" s="129" t="s">
        <v>12</v>
      </c>
      <c r="I453" s="173" t="s">
        <v>12</v>
      </c>
      <c r="J453" s="115"/>
      <c r="O453" s="57">
        <v>4</v>
      </c>
      <c r="P453" s="52" t="s">
        <v>68</v>
      </c>
      <c r="Q453" s="173" t="s">
        <v>12</v>
      </c>
      <c r="R453" s="173" t="s">
        <v>12</v>
      </c>
      <c r="S453" s="126">
        <v>0</v>
      </c>
      <c r="T453" s="173" t="s">
        <v>12</v>
      </c>
      <c r="U453" s="173" t="s">
        <v>12</v>
      </c>
      <c r="V453" s="129" t="s">
        <v>12</v>
      </c>
      <c r="W453" s="173" t="s">
        <v>12</v>
      </c>
      <c r="X453" s="90"/>
    </row>
    <row r="454" spans="1:24" ht="24.95" customHeight="1" x14ac:dyDescent="0.2">
      <c r="A454" s="57">
        <v>5</v>
      </c>
      <c r="B454" s="373" t="s">
        <v>66</v>
      </c>
      <c r="C454" s="173">
        <f>8-4</f>
        <v>4</v>
      </c>
      <c r="D454" s="173">
        <v>4</v>
      </c>
      <c r="E454" s="126">
        <v>0</v>
      </c>
      <c r="F454" s="173">
        <f>C454</f>
        <v>4</v>
      </c>
      <c r="G454" s="154">
        <f>H454/1000*D454</f>
        <v>2</v>
      </c>
      <c r="H454" s="143">
        <v>500</v>
      </c>
      <c r="I454" s="173">
        <v>14</v>
      </c>
      <c r="J454" s="115"/>
      <c r="O454" s="57">
        <v>5</v>
      </c>
      <c r="P454" s="53" t="s">
        <v>66</v>
      </c>
      <c r="Q454" s="173">
        <v>8</v>
      </c>
      <c r="R454" s="173" t="s">
        <v>12</v>
      </c>
      <c r="S454" s="126">
        <v>0</v>
      </c>
      <c r="T454" s="173">
        <f>Q454</f>
        <v>8</v>
      </c>
      <c r="U454" s="154"/>
      <c r="V454" s="143"/>
      <c r="W454" s="173">
        <v>14</v>
      </c>
      <c r="X454" s="90"/>
    </row>
    <row r="455" spans="1:24" ht="24.95" customHeight="1" x14ac:dyDescent="0.2">
      <c r="A455" s="57">
        <v>6</v>
      </c>
      <c r="B455" s="52" t="s">
        <v>67</v>
      </c>
      <c r="C455" s="173" t="s">
        <v>12</v>
      </c>
      <c r="D455" s="173" t="s">
        <v>12</v>
      </c>
      <c r="E455" s="126">
        <v>0</v>
      </c>
      <c r="F455" s="173" t="s">
        <v>12</v>
      </c>
      <c r="G455" s="173" t="s">
        <v>12</v>
      </c>
      <c r="H455" s="129" t="s">
        <v>12</v>
      </c>
      <c r="I455" s="173" t="s">
        <v>12</v>
      </c>
      <c r="J455" s="115"/>
      <c r="O455" s="57">
        <v>6</v>
      </c>
      <c r="P455" s="52" t="s">
        <v>67</v>
      </c>
      <c r="Q455" s="173" t="s">
        <v>12</v>
      </c>
      <c r="R455" s="173" t="s">
        <v>12</v>
      </c>
      <c r="S455" s="126">
        <v>0</v>
      </c>
      <c r="T455" s="173" t="s">
        <v>12</v>
      </c>
      <c r="U455" s="173" t="s">
        <v>12</v>
      </c>
      <c r="V455" s="129" t="s">
        <v>12</v>
      </c>
      <c r="W455" s="173" t="s">
        <v>12</v>
      </c>
      <c r="X455" s="90"/>
    </row>
    <row r="456" spans="1:24" ht="24.95" customHeight="1" x14ac:dyDescent="0.2">
      <c r="A456" s="57">
        <v>7</v>
      </c>
      <c r="B456" s="52" t="s">
        <v>69</v>
      </c>
      <c r="C456" s="173" t="s">
        <v>12</v>
      </c>
      <c r="D456" s="173" t="s">
        <v>12</v>
      </c>
      <c r="E456" s="126">
        <v>0</v>
      </c>
      <c r="F456" s="173" t="s">
        <v>12</v>
      </c>
      <c r="G456" s="173" t="s">
        <v>12</v>
      </c>
      <c r="H456" s="129" t="s">
        <v>12</v>
      </c>
      <c r="I456" s="173" t="s">
        <v>12</v>
      </c>
      <c r="J456" s="115"/>
      <c r="O456" s="57">
        <v>7</v>
      </c>
      <c r="P456" s="52" t="s">
        <v>69</v>
      </c>
      <c r="Q456" s="173" t="s">
        <v>12</v>
      </c>
      <c r="R456" s="173" t="s">
        <v>12</v>
      </c>
      <c r="S456" s="126">
        <v>0</v>
      </c>
      <c r="T456" s="173" t="s">
        <v>12</v>
      </c>
      <c r="U456" s="173" t="s">
        <v>12</v>
      </c>
      <c r="V456" s="129" t="s">
        <v>12</v>
      </c>
      <c r="W456" s="173" t="s">
        <v>12</v>
      </c>
      <c r="X456" s="90"/>
    </row>
    <row r="457" spans="1:24" ht="24.95" customHeight="1" x14ac:dyDescent="0.2">
      <c r="A457" s="57">
        <v>8</v>
      </c>
      <c r="B457" s="52" t="s">
        <v>70</v>
      </c>
      <c r="C457" s="173" t="s">
        <v>12</v>
      </c>
      <c r="D457" s="173" t="s">
        <v>12</v>
      </c>
      <c r="E457" s="126">
        <v>0</v>
      </c>
      <c r="F457" s="173" t="s">
        <v>12</v>
      </c>
      <c r="G457" s="173" t="s">
        <v>12</v>
      </c>
      <c r="H457" s="129" t="s">
        <v>12</v>
      </c>
      <c r="I457" s="173" t="s">
        <v>12</v>
      </c>
      <c r="J457" s="115"/>
      <c r="O457" s="57">
        <v>8</v>
      </c>
      <c r="P457" s="52" t="s">
        <v>70</v>
      </c>
      <c r="Q457" s="173" t="s">
        <v>12</v>
      </c>
      <c r="R457" s="173" t="s">
        <v>12</v>
      </c>
      <c r="S457" s="126">
        <v>0</v>
      </c>
      <c r="T457" s="173" t="s">
        <v>12</v>
      </c>
      <c r="U457" s="173" t="s">
        <v>12</v>
      </c>
      <c r="V457" s="129" t="s">
        <v>12</v>
      </c>
      <c r="W457" s="173" t="s">
        <v>12</v>
      </c>
      <c r="X457" s="90"/>
    </row>
    <row r="458" spans="1:24" ht="24.95" customHeight="1" x14ac:dyDescent="0.2">
      <c r="A458" s="57">
        <v>9</v>
      </c>
      <c r="B458" s="52" t="s">
        <v>71</v>
      </c>
      <c r="C458" s="173" t="s">
        <v>12</v>
      </c>
      <c r="D458" s="173" t="s">
        <v>12</v>
      </c>
      <c r="E458" s="126">
        <v>0</v>
      </c>
      <c r="F458" s="173" t="s">
        <v>12</v>
      </c>
      <c r="G458" s="173" t="s">
        <v>12</v>
      </c>
      <c r="H458" s="129" t="s">
        <v>12</v>
      </c>
      <c r="I458" s="173" t="s">
        <v>12</v>
      </c>
      <c r="J458" s="115"/>
      <c r="O458" s="57">
        <v>9</v>
      </c>
      <c r="P458" s="52" t="s">
        <v>71</v>
      </c>
      <c r="Q458" s="173" t="s">
        <v>12</v>
      </c>
      <c r="R458" s="173" t="s">
        <v>12</v>
      </c>
      <c r="S458" s="126">
        <v>0</v>
      </c>
      <c r="T458" s="173" t="s">
        <v>12</v>
      </c>
      <c r="U458" s="173" t="s">
        <v>12</v>
      </c>
      <c r="V458" s="129" t="s">
        <v>12</v>
      </c>
      <c r="W458" s="173" t="s">
        <v>12</v>
      </c>
      <c r="X458" s="90"/>
    </row>
    <row r="459" spans="1:24" ht="24.95" customHeight="1" x14ac:dyDescent="0.2">
      <c r="A459" s="57">
        <v>10</v>
      </c>
      <c r="B459" s="52" t="s">
        <v>72</v>
      </c>
      <c r="C459" s="173" t="s">
        <v>12</v>
      </c>
      <c r="D459" s="173" t="s">
        <v>12</v>
      </c>
      <c r="E459" s="126">
        <v>0</v>
      </c>
      <c r="F459" s="173" t="s">
        <v>12</v>
      </c>
      <c r="G459" s="173" t="s">
        <v>12</v>
      </c>
      <c r="H459" s="129" t="s">
        <v>12</v>
      </c>
      <c r="I459" s="173" t="s">
        <v>12</v>
      </c>
      <c r="J459" s="115"/>
      <c r="O459" s="57">
        <v>10</v>
      </c>
      <c r="P459" s="52" t="s">
        <v>72</v>
      </c>
      <c r="Q459" s="173" t="s">
        <v>12</v>
      </c>
      <c r="R459" s="173" t="s">
        <v>12</v>
      </c>
      <c r="S459" s="126">
        <v>0</v>
      </c>
      <c r="T459" s="173" t="s">
        <v>12</v>
      </c>
      <c r="U459" s="173" t="s">
        <v>12</v>
      </c>
      <c r="V459" s="129" t="s">
        <v>12</v>
      </c>
      <c r="W459" s="173" t="s">
        <v>12</v>
      </c>
      <c r="X459" s="90"/>
    </row>
    <row r="460" spans="1:24" ht="24.95" customHeight="1" thickBot="1" x14ac:dyDescent="0.25">
      <c r="A460" s="57">
        <v>11</v>
      </c>
      <c r="B460" s="54" t="s">
        <v>73</v>
      </c>
      <c r="C460" s="173" t="s">
        <v>12</v>
      </c>
      <c r="D460" s="173" t="s">
        <v>12</v>
      </c>
      <c r="E460" s="126">
        <v>0</v>
      </c>
      <c r="F460" s="173" t="s">
        <v>12</v>
      </c>
      <c r="G460" s="173" t="s">
        <v>12</v>
      </c>
      <c r="H460" s="129" t="s">
        <v>12</v>
      </c>
      <c r="I460" s="173" t="s">
        <v>12</v>
      </c>
      <c r="J460" s="115"/>
      <c r="O460" s="57">
        <v>11</v>
      </c>
      <c r="P460" s="54" t="s">
        <v>73</v>
      </c>
      <c r="Q460" s="173" t="s">
        <v>12</v>
      </c>
      <c r="R460" s="173" t="s">
        <v>12</v>
      </c>
      <c r="S460" s="126">
        <v>0</v>
      </c>
      <c r="T460" s="173" t="s">
        <v>12</v>
      </c>
      <c r="U460" s="173" t="s">
        <v>12</v>
      </c>
      <c r="V460" s="129" t="s">
        <v>12</v>
      </c>
      <c r="W460" s="173" t="s">
        <v>12</v>
      </c>
      <c r="X460" s="90"/>
    </row>
    <row r="461" spans="1:24" ht="24.95" customHeight="1" thickTop="1" thickBot="1" x14ac:dyDescent="0.25">
      <c r="A461" s="454" t="s">
        <v>13</v>
      </c>
      <c r="B461" s="455"/>
      <c r="C461" s="164">
        <f>SUM(C450:C460)</f>
        <v>4</v>
      </c>
      <c r="D461" s="165">
        <f>SUM(D450:D460)</f>
        <v>4</v>
      </c>
      <c r="E461" s="164">
        <f>SUM(E450:E460)</f>
        <v>0</v>
      </c>
      <c r="F461" s="165">
        <f>F454</f>
        <v>4</v>
      </c>
      <c r="G461" s="165">
        <f>SUM(G450:G460)</f>
        <v>2</v>
      </c>
      <c r="H461" s="174">
        <f>H454</f>
        <v>500</v>
      </c>
      <c r="I461" s="168">
        <f>SUM(I450:I460)</f>
        <v>14</v>
      </c>
      <c r="J461" s="169"/>
      <c r="O461" s="454" t="s">
        <v>13</v>
      </c>
      <c r="P461" s="455"/>
      <c r="Q461" s="164">
        <f>SUM(Q450:Q460)</f>
        <v>8</v>
      </c>
      <c r="R461" s="165">
        <f>SUM(R450:R460)</f>
        <v>0</v>
      </c>
      <c r="S461" s="164">
        <f>SUM(S450:S460)</f>
        <v>0</v>
      </c>
      <c r="T461" s="165">
        <f>T454</f>
        <v>8</v>
      </c>
      <c r="U461" s="165">
        <f>SUM(U450:U460)</f>
        <v>0</v>
      </c>
      <c r="V461" s="174" t="s">
        <v>12</v>
      </c>
      <c r="W461" s="168">
        <f>SUM(W450:W460)</f>
        <v>14</v>
      </c>
      <c r="X461" s="12"/>
    </row>
    <row r="462" spans="1:24" ht="24.95" customHeight="1" thickTop="1" x14ac:dyDescent="0.2">
      <c r="C462" s="13">
        <f>C461-Q461</f>
        <v>-4</v>
      </c>
      <c r="D462" s="13">
        <f t="shared" ref="D462:I462" si="77">D461-R461</f>
        <v>4</v>
      </c>
      <c r="E462" s="13">
        <f t="shared" si="77"/>
        <v>0</v>
      </c>
      <c r="F462" s="13">
        <f t="shared" si="77"/>
        <v>-4</v>
      </c>
      <c r="G462" s="13">
        <f t="shared" si="77"/>
        <v>2</v>
      </c>
      <c r="H462" s="13">
        <v>500</v>
      </c>
      <c r="I462" s="13">
        <f t="shared" si="77"/>
        <v>0</v>
      </c>
    </row>
    <row r="463" spans="1:24" ht="24.95" customHeight="1" x14ac:dyDescent="0.2">
      <c r="B463" s="208" t="s">
        <v>4</v>
      </c>
      <c r="C463" s="209" t="s">
        <v>63</v>
      </c>
      <c r="G463" s="45"/>
      <c r="U463" s="45" t="s">
        <v>112</v>
      </c>
    </row>
    <row r="464" spans="1:24" ht="24.95" customHeight="1" x14ac:dyDescent="0.2">
      <c r="B464" s="208" t="s">
        <v>5</v>
      </c>
      <c r="C464" s="209" t="s">
        <v>64</v>
      </c>
      <c r="G464" s="409"/>
      <c r="H464" s="410"/>
      <c r="I464" s="410"/>
      <c r="J464" s="410"/>
      <c r="U464" s="47" t="s">
        <v>38</v>
      </c>
      <c r="V464" s="46"/>
      <c r="W464" s="46"/>
      <c r="X464" s="46"/>
    </row>
    <row r="465" spans="1:36" ht="24.95" customHeight="1" x14ac:dyDescent="0.2">
      <c r="B465" s="208" t="s">
        <v>6</v>
      </c>
      <c r="C465" s="209" t="s">
        <v>65</v>
      </c>
      <c r="G465" s="45"/>
      <c r="U465" s="45" t="s">
        <v>113</v>
      </c>
    </row>
    <row r="466" spans="1:36" ht="24.95" customHeight="1" x14ac:dyDescent="0.2">
      <c r="G466" s="410"/>
      <c r="H466" s="410"/>
      <c r="I466" s="410"/>
      <c r="J466" s="410"/>
      <c r="U466" s="410"/>
      <c r="V466" s="410"/>
      <c r="W466" s="410"/>
      <c r="X466" s="410"/>
    </row>
    <row r="467" spans="1:36" ht="24.95" customHeight="1" x14ac:dyDescent="0.2">
      <c r="G467" s="410"/>
      <c r="H467" s="410"/>
      <c r="I467" s="410"/>
      <c r="J467" s="410"/>
      <c r="U467" s="410"/>
      <c r="V467" s="410"/>
      <c r="W467" s="410"/>
      <c r="X467" s="410"/>
      <c r="AG467" s="410"/>
      <c r="AH467" s="410"/>
      <c r="AI467" s="410"/>
      <c r="AJ467" s="410"/>
    </row>
    <row r="468" spans="1:36" ht="24.95" customHeight="1" x14ac:dyDescent="0.2"/>
    <row r="469" spans="1:36" ht="24.95" customHeight="1" x14ac:dyDescent="0.2"/>
    <row r="470" spans="1:36" ht="24.95" customHeight="1" x14ac:dyDescent="0.25">
      <c r="G470" s="407"/>
      <c r="H470" s="407"/>
      <c r="I470" s="407"/>
      <c r="J470" s="407"/>
    </row>
    <row r="471" spans="1:36" ht="24.95" customHeight="1" x14ac:dyDescent="0.2">
      <c r="G471" s="410"/>
      <c r="H471" s="410"/>
      <c r="I471" s="410"/>
      <c r="J471" s="410"/>
    </row>
    <row r="472" spans="1:36" ht="24.95" customHeight="1" x14ac:dyDescent="0.2">
      <c r="G472" s="410"/>
      <c r="H472" s="410"/>
      <c r="I472" s="410"/>
      <c r="J472" s="410"/>
    </row>
    <row r="473" spans="1:36" ht="24.95" customHeight="1" x14ac:dyDescent="0.2"/>
    <row r="474" spans="1:36" ht="24.95" customHeight="1" x14ac:dyDescent="0.2"/>
    <row r="475" spans="1:36" ht="24.95" customHeight="1" x14ac:dyDescent="0.2"/>
    <row r="476" spans="1:36" ht="24.95" customHeight="1" x14ac:dyDescent="0.2"/>
    <row r="477" spans="1:36" ht="24.95" customHeight="1" x14ac:dyDescent="0.2"/>
    <row r="478" spans="1:36" ht="24.95" customHeight="1" x14ac:dyDescent="0.2"/>
    <row r="479" spans="1:36" ht="24.95" customHeight="1" x14ac:dyDescent="0.2">
      <c r="G479" s="349"/>
      <c r="H479" s="349"/>
      <c r="I479" s="349"/>
      <c r="J479" s="349"/>
      <c r="U479" s="349"/>
      <c r="V479" s="349"/>
      <c r="W479" s="349"/>
      <c r="X479" s="349"/>
    </row>
    <row r="480" spans="1:36" ht="24.95" customHeight="1" x14ac:dyDescent="0.3">
      <c r="A480" s="422" t="s">
        <v>51</v>
      </c>
      <c r="B480" s="422"/>
      <c r="C480" s="422"/>
      <c r="D480" s="422"/>
      <c r="E480" s="422"/>
      <c r="F480" s="422"/>
      <c r="G480" s="422"/>
      <c r="H480" s="422"/>
      <c r="I480" s="422"/>
      <c r="J480" s="422"/>
      <c r="O480" s="452" t="s">
        <v>51</v>
      </c>
      <c r="P480" s="452"/>
      <c r="Q480" s="452"/>
      <c r="R480" s="452"/>
      <c r="S480" s="452"/>
      <c r="T480" s="452"/>
      <c r="U480" s="452"/>
      <c r="V480" s="452"/>
      <c r="W480" s="452"/>
      <c r="X480" s="452"/>
    </row>
    <row r="481" spans="1:24" ht="24.95" customHeight="1" x14ac:dyDescent="0.3">
      <c r="A481" s="422" t="s">
        <v>53</v>
      </c>
      <c r="B481" s="422"/>
      <c r="C481" s="422"/>
      <c r="D481" s="422"/>
      <c r="E481" s="422"/>
      <c r="F481" s="422"/>
      <c r="G481" s="422"/>
      <c r="H481" s="422"/>
      <c r="I481" s="422"/>
      <c r="J481" s="422"/>
      <c r="O481" s="452" t="s">
        <v>53</v>
      </c>
      <c r="P481" s="452"/>
      <c r="Q481" s="452"/>
      <c r="R481" s="452"/>
      <c r="S481" s="452"/>
      <c r="T481" s="452"/>
      <c r="U481" s="452"/>
      <c r="V481" s="452"/>
      <c r="W481" s="452"/>
      <c r="X481" s="452"/>
    </row>
    <row r="482" spans="1:24" ht="24.95" customHeight="1" x14ac:dyDescent="0.3">
      <c r="A482" s="422" t="s">
        <v>114</v>
      </c>
      <c r="B482" s="422"/>
      <c r="C482" s="422"/>
      <c r="D482" s="422"/>
      <c r="E482" s="422"/>
      <c r="F482" s="422"/>
      <c r="G482" s="422"/>
      <c r="H482" s="422"/>
      <c r="I482" s="422"/>
      <c r="J482" s="422"/>
      <c r="O482" s="452" t="s">
        <v>52</v>
      </c>
      <c r="P482" s="452"/>
      <c r="Q482" s="452"/>
      <c r="R482" s="452"/>
      <c r="S482" s="452"/>
      <c r="T482" s="452"/>
      <c r="U482" s="452"/>
      <c r="V482" s="452"/>
      <c r="W482" s="452"/>
      <c r="X482" s="452"/>
    </row>
    <row r="483" spans="1:24" ht="24.95" customHeight="1" x14ac:dyDescent="0.3">
      <c r="A483" s="355"/>
      <c r="B483" s="355"/>
      <c r="C483" s="355"/>
      <c r="D483" s="355"/>
      <c r="E483" s="355"/>
      <c r="F483" s="355"/>
      <c r="G483" s="355"/>
      <c r="H483" s="355"/>
      <c r="I483" s="355"/>
      <c r="J483" s="355"/>
      <c r="O483" s="355"/>
      <c r="P483" s="355"/>
      <c r="Q483" s="355"/>
      <c r="R483" s="355"/>
      <c r="S483" s="355"/>
      <c r="T483" s="355"/>
      <c r="U483" s="355"/>
      <c r="V483" s="355"/>
      <c r="W483" s="355"/>
      <c r="X483" s="355"/>
    </row>
    <row r="484" spans="1:24" ht="24.95" customHeight="1" x14ac:dyDescent="0.2">
      <c r="A484" t="s">
        <v>0</v>
      </c>
      <c r="C484" s="45" t="s">
        <v>89</v>
      </c>
      <c r="O484" t="s">
        <v>0</v>
      </c>
      <c r="Q484" s="45" t="s">
        <v>89</v>
      </c>
    </row>
    <row r="485" spans="1:24" ht="24.95" customHeight="1" thickBot="1" x14ac:dyDescent="0.25"/>
    <row r="486" spans="1:24" ht="24.95" customHeight="1" thickTop="1" thickBot="1" x14ac:dyDescent="0.25">
      <c r="A486" s="1" t="s">
        <v>2</v>
      </c>
      <c r="B486" s="2" t="s">
        <v>3</v>
      </c>
      <c r="C486" s="2" t="s">
        <v>4</v>
      </c>
      <c r="D486" s="2" t="s">
        <v>5</v>
      </c>
      <c r="E486" s="2" t="s">
        <v>6</v>
      </c>
      <c r="F486" s="3" t="s">
        <v>44</v>
      </c>
      <c r="G486" s="3" t="s">
        <v>8</v>
      </c>
      <c r="H486" s="3" t="s">
        <v>9</v>
      </c>
      <c r="I486" s="3" t="s">
        <v>10</v>
      </c>
      <c r="J486" s="4" t="s">
        <v>11</v>
      </c>
      <c r="L486" s="370" t="s">
        <v>48</v>
      </c>
      <c r="O486" s="1" t="s">
        <v>2</v>
      </c>
      <c r="P486" s="2" t="s">
        <v>3</v>
      </c>
      <c r="Q486" s="2" t="s">
        <v>4</v>
      </c>
      <c r="R486" s="2" t="s">
        <v>5</v>
      </c>
      <c r="S486" s="2" t="s">
        <v>6</v>
      </c>
      <c r="T486" s="3" t="s">
        <v>44</v>
      </c>
      <c r="U486" s="3" t="s">
        <v>8</v>
      </c>
      <c r="V486" s="3" t="s">
        <v>9</v>
      </c>
      <c r="W486" s="3" t="s">
        <v>10</v>
      </c>
      <c r="X486" s="4" t="s">
        <v>11</v>
      </c>
    </row>
    <row r="487" spans="1:24" ht="24.95" customHeight="1" thickTop="1" thickBot="1" x14ac:dyDescent="0.3">
      <c r="A487" s="5">
        <v>1</v>
      </c>
      <c r="B487" s="6">
        <v>2</v>
      </c>
      <c r="C487" s="6">
        <v>3</v>
      </c>
      <c r="D487" s="6">
        <v>4</v>
      </c>
      <c r="E487" s="6">
        <v>5</v>
      </c>
      <c r="F487" s="6">
        <v>6</v>
      </c>
      <c r="G487" s="6">
        <v>7</v>
      </c>
      <c r="H487" s="6">
        <v>8</v>
      </c>
      <c r="I487" s="6">
        <v>9</v>
      </c>
      <c r="J487" s="7">
        <v>10</v>
      </c>
      <c r="K487" s="45" t="s">
        <v>157</v>
      </c>
      <c r="L487" s="45" t="s">
        <v>158</v>
      </c>
      <c r="M487" s="45" t="s">
        <v>159</v>
      </c>
      <c r="N487" s="357" t="s">
        <v>162</v>
      </c>
      <c r="O487" s="5">
        <v>1</v>
      </c>
      <c r="P487" s="6">
        <v>2</v>
      </c>
      <c r="Q487" s="6">
        <v>3</v>
      </c>
      <c r="R487" s="6">
        <v>4</v>
      </c>
      <c r="S487" s="6">
        <v>5</v>
      </c>
      <c r="T487" s="6">
        <v>6</v>
      </c>
      <c r="U487" s="6">
        <v>7</v>
      </c>
      <c r="V487" s="6">
        <v>8</v>
      </c>
      <c r="W487" s="6">
        <v>9</v>
      </c>
      <c r="X487" s="7">
        <v>10</v>
      </c>
    </row>
    <row r="488" spans="1:24" ht="24.95" customHeight="1" thickTop="1" x14ac:dyDescent="0.2">
      <c r="A488" s="55">
        <v>1</v>
      </c>
      <c r="B488" s="50" t="s">
        <v>82</v>
      </c>
      <c r="C488" s="137" t="s">
        <v>12</v>
      </c>
      <c r="D488" s="137" t="s">
        <v>12</v>
      </c>
      <c r="E488" s="137" t="s">
        <v>12</v>
      </c>
      <c r="F488" s="137" t="s">
        <v>12</v>
      </c>
      <c r="G488" s="137" t="s">
        <v>12</v>
      </c>
      <c r="H488" s="137" t="s">
        <v>12</v>
      </c>
      <c r="I488" s="137" t="s">
        <v>12</v>
      </c>
      <c r="J488" s="90"/>
      <c r="O488" s="55">
        <v>1</v>
      </c>
      <c r="P488" s="50" t="s">
        <v>82</v>
      </c>
      <c r="Q488" s="137" t="s">
        <v>12</v>
      </c>
      <c r="R488" s="137" t="s">
        <v>12</v>
      </c>
      <c r="S488" s="137" t="s">
        <v>12</v>
      </c>
      <c r="T488" s="137" t="s">
        <v>12</v>
      </c>
      <c r="U488" s="137" t="s">
        <v>12</v>
      </c>
      <c r="V488" s="137" t="s">
        <v>12</v>
      </c>
      <c r="W488" s="137" t="s">
        <v>12</v>
      </c>
      <c r="X488" s="91"/>
    </row>
    <row r="489" spans="1:24" ht="24.95" customHeight="1" x14ac:dyDescent="0.2">
      <c r="A489" s="56">
        <v>2</v>
      </c>
      <c r="B489" s="51" t="s">
        <v>61</v>
      </c>
      <c r="C489" s="137" t="s">
        <v>12</v>
      </c>
      <c r="D489" s="137" t="s">
        <v>12</v>
      </c>
      <c r="E489" s="137" t="s">
        <v>12</v>
      </c>
      <c r="F489" s="137" t="s">
        <v>12</v>
      </c>
      <c r="G489" s="137" t="s">
        <v>12</v>
      </c>
      <c r="H489" s="137" t="s">
        <v>12</v>
      </c>
      <c r="I489" s="137" t="s">
        <v>12</v>
      </c>
      <c r="J489" s="90"/>
      <c r="O489" s="56">
        <v>2</v>
      </c>
      <c r="P489" s="51" t="s">
        <v>61</v>
      </c>
      <c r="Q489" s="137" t="s">
        <v>12</v>
      </c>
      <c r="R489" s="137" t="s">
        <v>12</v>
      </c>
      <c r="S489" s="137" t="s">
        <v>12</v>
      </c>
      <c r="T489" s="137" t="s">
        <v>12</v>
      </c>
      <c r="U489" s="137" t="s">
        <v>12</v>
      </c>
      <c r="V489" s="137" t="s">
        <v>12</v>
      </c>
      <c r="W489" s="137" t="s">
        <v>12</v>
      </c>
      <c r="X489" s="90"/>
    </row>
    <row r="490" spans="1:24" ht="24.95" customHeight="1" x14ac:dyDescent="0.2">
      <c r="A490" s="57">
        <v>3</v>
      </c>
      <c r="B490" s="52" t="s">
        <v>75</v>
      </c>
      <c r="C490" s="137" t="s">
        <v>12</v>
      </c>
      <c r="D490" s="137" t="s">
        <v>12</v>
      </c>
      <c r="E490" s="137" t="s">
        <v>12</v>
      </c>
      <c r="F490" s="137" t="s">
        <v>12</v>
      </c>
      <c r="G490" s="137" t="s">
        <v>12</v>
      </c>
      <c r="H490" s="137" t="s">
        <v>12</v>
      </c>
      <c r="I490" s="137" t="s">
        <v>12</v>
      </c>
      <c r="J490" s="105"/>
      <c r="O490" s="57">
        <v>3</v>
      </c>
      <c r="P490" s="52" t="s">
        <v>75</v>
      </c>
      <c r="Q490" s="137" t="s">
        <v>12</v>
      </c>
      <c r="R490" s="137" t="s">
        <v>12</v>
      </c>
      <c r="S490" s="137" t="s">
        <v>12</v>
      </c>
      <c r="T490" s="137" t="s">
        <v>12</v>
      </c>
      <c r="U490" s="137" t="s">
        <v>12</v>
      </c>
      <c r="V490" s="137" t="s">
        <v>12</v>
      </c>
      <c r="W490" s="137" t="s">
        <v>12</v>
      </c>
      <c r="X490" s="105"/>
    </row>
    <row r="491" spans="1:24" ht="24.95" customHeight="1" x14ac:dyDescent="0.2">
      <c r="A491" s="57">
        <v>4</v>
      </c>
      <c r="B491" s="52" t="s">
        <v>68</v>
      </c>
      <c r="C491" s="137" t="s">
        <v>12</v>
      </c>
      <c r="D491" s="137" t="s">
        <v>12</v>
      </c>
      <c r="E491" s="137" t="s">
        <v>12</v>
      </c>
      <c r="F491" s="137" t="s">
        <v>12</v>
      </c>
      <c r="G491" s="137" t="s">
        <v>12</v>
      </c>
      <c r="H491" s="137" t="s">
        <v>12</v>
      </c>
      <c r="I491" s="137" t="s">
        <v>12</v>
      </c>
      <c r="J491" s="90"/>
      <c r="O491" s="57">
        <v>4</v>
      </c>
      <c r="P491" s="52" t="s">
        <v>68</v>
      </c>
      <c r="Q491" s="137" t="s">
        <v>12</v>
      </c>
      <c r="R491" s="137" t="s">
        <v>12</v>
      </c>
      <c r="S491" s="137" t="s">
        <v>12</v>
      </c>
      <c r="T491" s="137" t="s">
        <v>12</v>
      </c>
      <c r="U491" s="137" t="s">
        <v>12</v>
      </c>
      <c r="V491" s="137" t="s">
        <v>12</v>
      </c>
      <c r="W491" s="137" t="s">
        <v>12</v>
      </c>
      <c r="X491" s="91"/>
    </row>
    <row r="492" spans="1:24" ht="24.95" customHeight="1" x14ac:dyDescent="0.2">
      <c r="A492" s="57">
        <v>5</v>
      </c>
      <c r="B492" s="53" t="s">
        <v>66</v>
      </c>
      <c r="C492" s="137" t="s">
        <v>12</v>
      </c>
      <c r="D492" s="137" t="s">
        <v>12</v>
      </c>
      <c r="E492" s="137" t="s">
        <v>12</v>
      </c>
      <c r="F492" s="137" t="s">
        <v>12</v>
      </c>
      <c r="G492" s="137" t="s">
        <v>12</v>
      </c>
      <c r="H492" s="137" t="s">
        <v>12</v>
      </c>
      <c r="I492" s="137" t="s">
        <v>12</v>
      </c>
      <c r="J492" s="90"/>
      <c r="O492" s="57">
        <v>5</v>
      </c>
      <c r="P492" s="53" t="s">
        <v>66</v>
      </c>
      <c r="Q492" s="137" t="s">
        <v>12</v>
      </c>
      <c r="R492" s="137" t="s">
        <v>12</v>
      </c>
      <c r="S492" s="137" t="s">
        <v>12</v>
      </c>
      <c r="T492" s="137" t="s">
        <v>12</v>
      </c>
      <c r="U492" s="137" t="s">
        <v>12</v>
      </c>
      <c r="V492" s="137" t="s">
        <v>12</v>
      </c>
      <c r="W492" s="137" t="s">
        <v>12</v>
      </c>
      <c r="X492" s="91"/>
    </row>
    <row r="493" spans="1:24" ht="24.95" customHeight="1" x14ac:dyDescent="0.2">
      <c r="A493" s="57">
        <v>6</v>
      </c>
      <c r="B493" s="52" t="s">
        <v>67</v>
      </c>
      <c r="C493" s="137" t="s">
        <v>12</v>
      </c>
      <c r="D493" s="137" t="s">
        <v>12</v>
      </c>
      <c r="E493" s="137" t="s">
        <v>12</v>
      </c>
      <c r="F493" s="137" t="s">
        <v>12</v>
      </c>
      <c r="G493" s="137" t="s">
        <v>12</v>
      </c>
      <c r="H493" s="137" t="s">
        <v>12</v>
      </c>
      <c r="I493" s="137" t="s">
        <v>12</v>
      </c>
      <c r="J493" s="90"/>
      <c r="O493" s="57">
        <v>6</v>
      </c>
      <c r="P493" s="52" t="s">
        <v>67</v>
      </c>
      <c r="Q493" s="137" t="s">
        <v>12</v>
      </c>
      <c r="R493" s="137" t="s">
        <v>12</v>
      </c>
      <c r="S493" s="137" t="s">
        <v>12</v>
      </c>
      <c r="T493" s="137" t="s">
        <v>12</v>
      </c>
      <c r="U493" s="137" t="s">
        <v>12</v>
      </c>
      <c r="V493" s="137" t="s">
        <v>12</v>
      </c>
      <c r="W493" s="137" t="s">
        <v>12</v>
      </c>
      <c r="X493" s="91"/>
    </row>
    <row r="494" spans="1:24" ht="24.95" customHeight="1" x14ac:dyDescent="0.2">
      <c r="A494" s="57">
        <v>7</v>
      </c>
      <c r="B494" s="52" t="s">
        <v>69</v>
      </c>
      <c r="C494" s="137" t="s">
        <v>12</v>
      </c>
      <c r="D494" s="137" t="s">
        <v>12</v>
      </c>
      <c r="E494" s="137" t="s">
        <v>12</v>
      </c>
      <c r="F494" s="137" t="s">
        <v>12</v>
      </c>
      <c r="G494" s="137" t="s">
        <v>12</v>
      </c>
      <c r="H494" s="137" t="s">
        <v>12</v>
      </c>
      <c r="I494" s="137" t="s">
        <v>12</v>
      </c>
      <c r="J494" s="90"/>
      <c r="O494" s="57">
        <v>7</v>
      </c>
      <c r="P494" s="52" t="s">
        <v>69</v>
      </c>
      <c r="Q494" s="137" t="s">
        <v>12</v>
      </c>
      <c r="R494" s="137" t="s">
        <v>12</v>
      </c>
      <c r="S494" s="137" t="s">
        <v>12</v>
      </c>
      <c r="T494" s="137" t="s">
        <v>12</v>
      </c>
      <c r="U494" s="137" t="s">
        <v>12</v>
      </c>
      <c r="V494" s="137" t="s">
        <v>12</v>
      </c>
      <c r="W494" s="137" t="s">
        <v>12</v>
      </c>
      <c r="X494" s="90"/>
    </row>
    <row r="495" spans="1:24" ht="24.95" customHeight="1" x14ac:dyDescent="0.2">
      <c r="A495" s="57">
        <v>8</v>
      </c>
      <c r="B495" s="52" t="s">
        <v>70</v>
      </c>
      <c r="C495" s="137" t="s">
        <v>12</v>
      </c>
      <c r="D495" s="137" t="s">
        <v>12</v>
      </c>
      <c r="E495" s="137" t="s">
        <v>12</v>
      </c>
      <c r="F495" s="137" t="s">
        <v>12</v>
      </c>
      <c r="G495" s="137" t="s">
        <v>12</v>
      </c>
      <c r="H495" s="137" t="s">
        <v>12</v>
      </c>
      <c r="I495" s="137" t="s">
        <v>12</v>
      </c>
      <c r="J495" s="90"/>
      <c r="O495" s="57">
        <v>8</v>
      </c>
      <c r="P495" s="52" t="s">
        <v>70</v>
      </c>
      <c r="Q495" s="137" t="s">
        <v>12</v>
      </c>
      <c r="R495" s="137" t="s">
        <v>12</v>
      </c>
      <c r="S495" s="137" t="s">
        <v>12</v>
      </c>
      <c r="T495" s="137" t="s">
        <v>12</v>
      </c>
      <c r="U495" s="137" t="s">
        <v>12</v>
      </c>
      <c r="V495" s="137" t="s">
        <v>12</v>
      </c>
      <c r="W495" s="137" t="s">
        <v>12</v>
      </c>
      <c r="X495" s="90"/>
    </row>
    <row r="496" spans="1:24" ht="24.95" customHeight="1" x14ac:dyDescent="0.2">
      <c r="A496" s="57">
        <v>9</v>
      </c>
      <c r="B496" s="52" t="s">
        <v>71</v>
      </c>
      <c r="C496" s="137" t="s">
        <v>12</v>
      </c>
      <c r="D496" s="137" t="s">
        <v>12</v>
      </c>
      <c r="E496" s="137" t="s">
        <v>12</v>
      </c>
      <c r="F496" s="137" t="s">
        <v>12</v>
      </c>
      <c r="G496" s="137" t="s">
        <v>12</v>
      </c>
      <c r="H496" s="137" t="s">
        <v>12</v>
      </c>
      <c r="I496" s="137" t="s">
        <v>12</v>
      </c>
      <c r="J496" s="90"/>
      <c r="O496" s="57">
        <v>9</v>
      </c>
      <c r="P496" s="52" t="s">
        <v>71</v>
      </c>
      <c r="Q496" s="137" t="s">
        <v>12</v>
      </c>
      <c r="R496" s="137" t="s">
        <v>12</v>
      </c>
      <c r="S496" s="137" t="s">
        <v>12</v>
      </c>
      <c r="T496" s="137" t="s">
        <v>12</v>
      </c>
      <c r="U496" s="137" t="s">
        <v>12</v>
      </c>
      <c r="V496" s="137" t="s">
        <v>12</v>
      </c>
      <c r="W496" s="137" t="s">
        <v>12</v>
      </c>
      <c r="X496" s="90"/>
    </row>
    <row r="497" spans="1:24" ht="24.95" customHeight="1" x14ac:dyDescent="0.2">
      <c r="A497" s="57">
        <v>10</v>
      </c>
      <c r="B497" s="52" t="s">
        <v>72</v>
      </c>
      <c r="C497" s="137">
        <f>64-2</f>
        <v>62</v>
      </c>
      <c r="D497" s="137">
        <f>102+2</f>
        <v>104</v>
      </c>
      <c r="E497" s="137">
        <v>149</v>
      </c>
      <c r="F497" s="137">
        <f>E497+D497+C497</f>
        <v>315</v>
      </c>
      <c r="G497" s="154">
        <f>H497/1000*D497</f>
        <v>46.072000000000003</v>
      </c>
      <c r="H497" s="137">
        <v>443</v>
      </c>
      <c r="I497" s="137">
        <v>125</v>
      </c>
      <c r="J497" s="90"/>
      <c r="K497" s="13">
        <f>C497-Q497</f>
        <v>-2</v>
      </c>
      <c r="L497" s="13">
        <f t="shared" ref="L497:N497" si="78">D497-R497</f>
        <v>2</v>
      </c>
      <c r="M497" s="13">
        <f t="shared" si="78"/>
        <v>0</v>
      </c>
      <c r="N497" s="13">
        <f t="shared" si="78"/>
        <v>0</v>
      </c>
      <c r="O497" s="57">
        <v>10</v>
      </c>
      <c r="P497" s="52" t="s">
        <v>72</v>
      </c>
      <c r="Q497" s="137">
        <v>64</v>
      </c>
      <c r="R497" s="137">
        <v>102</v>
      </c>
      <c r="S497" s="137">
        <v>149</v>
      </c>
      <c r="T497" s="137">
        <f>S497+R497+Q497</f>
        <v>315</v>
      </c>
      <c r="U497" s="154">
        <f>V497/1000*R497</f>
        <v>45.186</v>
      </c>
      <c r="V497" s="137">
        <v>443</v>
      </c>
      <c r="W497" s="137">
        <v>125</v>
      </c>
      <c r="X497" s="91"/>
    </row>
    <row r="498" spans="1:24" ht="24.95" customHeight="1" thickBot="1" x14ac:dyDescent="0.25">
      <c r="A498" s="57">
        <v>11</v>
      </c>
      <c r="B498" s="54" t="s">
        <v>73</v>
      </c>
      <c r="C498" s="137">
        <v>51</v>
      </c>
      <c r="D498" s="137">
        <v>16</v>
      </c>
      <c r="E498" s="137">
        <v>16</v>
      </c>
      <c r="F498" s="137">
        <f>E498+D498+C498</f>
        <v>83</v>
      </c>
      <c r="G498" s="154">
        <f>H498/1000*D498</f>
        <v>7.0880000000000001</v>
      </c>
      <c r="H498" s="137">
        <v>443</v>
      </c>
      <c r="I498" s="137">
        <v>110</v>
      </c>
      <c r="J498" s="90"/>
      <c r="O498" s="57">
        <v>11</v>
      </c>
      <c r="P498" s="54" t="s">
        <v>73</v>
      </c>
      <c r="Q498" s="137">
        <v>51</v>
      </c>
      <c r="R498" s="137">
        <v>16</v>
      </c>
      <c r="S498" s="137">
        <v>16</v>
      </c>
      <c r="T498" s="137">
        <f>S498+R498+Q498</f>
        <v>83</v>
      </c>
      <c r="U498" s="154">
        <f>V498/1000*R498</f>
        <v>7.0880000000000001</v>
      </c>
      <c r="V498" s="137">
        <v>443</v>
      </c>
      <c r="W498" s="137">
        <v>110</v>
      </c>
      <c r="X498" s="91"/>
    </row>
    <row r="499" spans="1:24" ht="24.95" customHeight="1" thickTop="1" thickBot="1" x14ac:dyDescent="0.25">
      <c r="A499" s="454" t="s">
        <v>13</v>
      </c>
      <c r="B499" s="455"/>
      <c r="C499" s="9">
        <f>SUM(C488:C498)</f>
        <v>113</v>
      </c>
      <c r="D499" s="10">
        <f>SUM(D488:D498)</f>
        <v>120</v>
      </c>
      <c r="E499" s="9">
        <f>SUM(E488:E498)</f>
        <v>165</v>
      </c>
      <c r="F499" s="15">
        <f>SUM(F488:F498)</f>
        <v>398</v>
      </c>
      <c r="G499" s="107">
        <f>H499/1000*D499</f>
        <v>53.160000000000004</v>
      </c>
      <c r="H499" s="10">
        <v>443</v>
      </c>
      <c r="I499" s="11">
        <f>SUM(I488:I498)</f>
        <v>235</v>
      </c>
      <c r="J499" s="12"/>
      <c r="O499" s="454" t="s">
        <v>13</v>
      </c>
      <c r="P499" s="455"/>
      <c r="Q499" s="9">
        <f>SUM(Q488:Q498)</f>
        <v>115</v>
      </c>
      <c r="R499" s="10">
        <f>SUM(R488:R498)</f>
        <v>118</v>
      </c>
      <c r="S499" s="9">
        <f>SUM(S488:S498)</f>
        <v>165</v>
      </c>
      <c r="T499" s="15">
        <f>SUM(T488:T498)</f>
        <v>398</v>
      </c>
      <c r="U499" s="107">
        <f>V499/1000*R499</f>
        <v>52.274000000000001</v>
      </c>
      <c r="V499" s="10">
        <v>443</v>
      </c>
      <c r="W499" s="11">
        <f>SUM(W488:W498)</f>
        <v>235</v>
      </c>
      <c r="X499" s="67"/>
    </row>
    <row r="500" spans="1:24" ht="24.95" customHeight="1" thickTop="1" x14ac:dyDescent="0.2">
      <c r="C500" s="13">
        <f>C499-Q499</f>
        <v>-2</v>
      </c>
      <c r="D500" s="13">
        <f t="shared" ref="D500:I500" si="79">D499-R499</f>
        <v>2</v>
      </c>
      <c r="E500" s="13">
        <f t="shared" si="79"/>
        <v>0</v>
      </c>
      <c r="F500" s="13">
        <f t="shared" si="79"/>
        <v>0</v>
      </c>
      <c r="G500" s="13">
        <f t="shared" si="79"/>
        <v>0.88600000000000279</v>
      </c>
      <c r="H500" s="13">
        <f t="shared" si="79"/>
        <v>0</v>
      </c>
      <c r="I500" s="13">
        <f t="shared" si="79"/>
        <v>0</v>
      </c>
    </row>
    <row r="501" spans="1:24" ht="24.95" customHeight="1" x14ac:dyDescent="0.2">
      <c r="B501" s="38"/>
      <c r="C501" s="21"/>
      <c r="D501" s="21"/>
      <c r="E501" s="21"/>
      <c r="F501" s="21"/>
      <c r="G501" s="45"/>
      <c r="P501" s="38"/>
      <c r="Q501" s="21"/>
      <c r="R501" s="21"/>
      <c r="S501" s="21"/>
      <c r="T501" s="21"/>
      <c r="U501" s="45" t="s">
        <v>112</v>
      </c>
    </row>
    <row r="502" spans="1:24" ht="24.95" customHeight="1" x14ac:dyDescent="0.2">
      <c r="B502" s="45" t="s">
        <v>4</v>
      </c>
      <c r="C502" s="210" t="s">
        <v>63</v>
      </c>
      <c r="G502" s="409"/>
      <c r="H502" s="410"/>
      <c r="I502" s="410"/>
      <c r="J502" s="410"/>
      <c r="U502" s="47" t="s">
        <v>38</v>
      </c>
      <c r="V502" s="46"/>
      <c r="W502" s="46"/>
      <c r="X502" s="46"/>
    </row>
    <row r="503" spans="1:24" ht="24.95" customHeight="1" x14ac:dyDescent="0.2">
      <c r="B503" s="45" t="s">
        <v>5</v>
      </c>
      <c r="C503" s="210" t="s">
        <v>64</v>
      </c>
      <c r="G503" s="45"/>
      <c r="U503" s="45" t="s">
        <v>113</v>
      </c>
    </row>
    <row r="504" spans="1:24" ht="24.95" customHeight="1" x14ac:dyDescent="0.2">
      <c r="B504" s="45" t="s">
        <v>6</v>
      </c>
      <c r="C504" s="210" t="s">
        <v>65</v>
      </c>
      <c r="G504" s="409"/>
      <c r="H504" s="409"/>
      <c r="I504" s="409"/>
      <c r="J504" s="409"/>
      <c r="U504" s="409"/>
      <c r="V504" s="409"/>
      <c r="W504" s="409"/>
      <c r="X504" s="409"/>
    </row>
    <row r="505" spans="1:24" x14ac:dyDescent="0.2">
      <c r="G505" s="349"/>
      <c r="H505" s="349"/>
      <c r="I505" s="349"/>
      <c r="J505" s="349"/>
      <c r="U505" s="349"/>
      <c r="V505" s="349"/>
      <c r="W505" s="349"/>
      <c r="X505" s="349"/>
    </row>
    <row r="506" spans="1:24" x14ac:dyDescent="0.2">
      <c r="G506" s="410"/>
      <c r="H506" s="410"/>
      <c r="I506" s="410"/>
      <c r="J506" s="410"/>
      <c r="U506" s="410"/>
      <c r="V506" s="410"/>
      <c r="W506" s="410"/>
      <c r="X506" s="410"/>
    </row>
    <row r="520" spans="1:24" ht="24.95" customHeight="1" x14ac:dyDescent="0.2"/>
    <row r="521" spans="1:24" ht="24.95" customHeight="1" x14ac:dyDescent="0.2"/>
    <row r="522" spans="1:24" ht="24.95" customHeight="1" x14ac:dyDescent="0.2"/>
    <row r="523" spans="1:24" ht="24.95" customHeight="1" x14ac:dyDescent="0.2"/>
    <row r="524" spans="1:24" ht="24.95" customHeight="1" x14ac:dyDescent="0.2">
      <c r="G524" s="349"/>
      <c r="H524" s="349"/>
      <c r="I524" s="349"/>
      <c r="J524" s="349"/>
      <c r="U524" s="349"/>
      <c r="V524" s="349"/>
      <c r="W524" s="349"/>
      <c r="X524" s="349"/>
    </row>
    <row r="525" spans="1:24" ht="24.95" customHeight="1" x14ac:dyDescent="0.3">
      <c r="A525" s="422" t="s">
        <v>51</v>
      </c>
      <c r="B525" s="422"/>
      <c r="C525" s="422"/>
      <c r="D525" s="422"/>
      <c r="E525" s="422"/>
      <c r="F525" s="422"/>
      <c r="G525" s="422"/>
      <c r="H525" s="422"/>
      <c r="I525" s="422"/>
      <c r="J525" s="422"/>
      <c r="O525" s="452" t="s">
        <v>51</v>
      </c>
      <c r="P525" s="452"/>
      <c r="Q525" s="452"/>
      <c r="R525" s="452"/>
      <c r="S525" s="452"/>
      <c r="T525" s="452"/>
      <c r="U525" s="452"/>
      <c r="V525" s="452"/>
      <c r="W525" s="452"/>
      <c r="X525" s="452"/>
    </row>
    <row r="526" spans="1:24" ht="24.95" customHeight="1" x14ac:dyDescent="0.3">
      <c r="A526" s="422" t="s">
        <v>53</v>
      </c>
      <c r="B526" s="422"/>
      <c r="C526" s="422"/>
      <c r="D526" s="422"/>
      <c r="E526" s="422"/>
      <c r="F526" s="422"/>
      <c r="G526" s="422"/>
      <c r="H526" s="422"/>
      <c r="I526" s="422"/>
      <c r="J526" s="422"/>
      <c r="O526" s="452" t="s">
        <v>53</v>
      </c>
      <c r="P526" s="452"/>
      <c r="Q526" s="452"/>
      <c r="R526" s="452"/>
      <c r="S526" s="452"/>
      <c r="T526" s="452"/>
      <c r="U526" s="452"/>
      <c r="V526" s="452"/>
      <c r="W526" s="452"/>
      <c r="X526" s="452"/>
    </row>
    <row r="527" spans="1:24" ht="24.95" customHeight="1" x14ac:dyDescent="0.3">
      <c r="A527" s="422" t="s">
        <v>114</v>
      </c>
      <c r="B527" s="422"/>
      <c r="C527" s="422"/>
      <c r="D527" s="422"/>
      <c r="E527" s="422"/>
      <c r="F527" s="422"/>
      <c r="G527" s="422"/>
      <c r="H527" s="422"/>
      <c r="I527" s="422"/>
      <c r="J527" s="422"/>
      <c r="O527" s="452" t="s">
        <v>52</v>
      </c>
      <c r="P527" s="452"/>
      <c r="Q527" s="452"/>
      <c r="R527" s="452"/>
      <c r="S527" s="452"/>
      <c r="T527" s="452"/>
      <c r="U527" s="452"/>
      <c r="V527" s="452"/>
      <c r="W527" s="452"/>
      <c r="X527" s="452"/>
    </row>
    <row r="528" spans="1:24" ht="24.95" customHeight="1" x14ac:dyDescent="0.2"/>
    <row r="529" spans="1:24" ht="24.95" customHeight="1" x14ac:dyDescent="0.2">
      <c r="A529" t="s">
        <v>0</v>
      </c>
      <c r="C529" s="45" t="s">
        <v>87</v>
      </c>
      <c r="O529" t="s">
        <v>0</v>
      </c>
      <c r="Q529" s="45" t="s">
        <v>90</v>
      </c>
    </row>
    <row r="530" spans="1:24" ht="24.95" customHeight="1" thickBot="1" x14ac:dyDescent="0.25">
      <c r="A530" s="45"/>
      <c r="E530" s="45"/>
      <c r="O530" s="45"/>
      <c r="S530" s="45"/>
    </row>
    <row r="531" spans="1:24" ht="30" customHeight="1" thickTop="1" thickBot="1" x14ac:dyDescent="0.25">
      <c r="A531" s="1" t="s">
        <v>2</v>
      </c>
      <c r="B531" s="2" t="s">
        <v>3</v>
      </c>
      <c r="C531" s="2" t="s">
        <v>4</v>
      </c>
      <c r="D531" s="2" t="s">
        <v>5</v>
      </c>
      <c r="E531" s="2" t="s">
        <v>6</v>
      </c>
      <c r="F531" s="3" t="s">
        <v>44</v>
      </c>
      <c r="G531" s="3" t="s">
        <v>8</v>
      </c>
      <c r="H531" s="3" t="s">
        <v>9</v>
      </c>
      <c r="I531" s="3" t="s">
        <v>10</v>
      </c>
      <c r="J531" s="4" t="s">
        <v>11</v>
      </c>
      <c r="L531" s="370" t="s">
        <v>48</v>
      </c>
      <c r="O531" s="1" t="s">
        <v>2</v>
      </c>
      <c r="P531" s="2" t="s">
        <v>3</v>
      </c>
      <c r="Q531" s="2" t="s">
        <v>4</v>
      </c>
      <c r="R531" s="2" t="s">
        <v>5</v>
      </c>
      <c r="S531" s="2" t="s">
        <v>6</v>
      </c>
      <c r="T531" s="3" t="s">
        <v>44</v>
      </c>
      <c r="U531" s="3" t="s">
        <v>8</v>
      </c>
      <c r="V531" s="3" t="s">
        <v>9</v>
      </c>
      <c r="W531" s="3" t="s">
        <v>10</v>
      </c>
      <c r="X531" s="4" t="s">
        <v>11</v>
      </c>
    </row>
    <row r="532" spans="1:24" ht="24.95" customHeight="1" thickTop="1" thickBot="1" x14ac:dyDescent="0.3">
      <c r="A532" s="5">
        <v>1</v>
      </c>
      <c r="B532" s="6">
        <v>2</v>
      </c>
      <c r="C532" s="6">
        <v>3</v>
      </c>
      <c r="D532" s="6">
        <v>4</v>
      </c>
      <c r="E532" s="6">
        <v>5</v>
      </c>
      <c r="F532" s="6">
        <v>6</v>
      </c>
      <c r="G532" s="6">
        <v>7</v>
      </c>
      <c r="H532" s="6">
        <v>8</v>
      </c>
      <c r="I532" s="6">
        <v>9</v>
      </c>
      <c r="J532" s="7">
        <v>10</v>
      </c>
      <c r="O532" s="5">
        <v>1</v>
      </c>
      <c r="P532" s="6">
        <v>2</v>
      </c>
      <c r="Q532" s="6">
        <v>3</v>
      </c>
      <c r="R532" s="6">
        <v>4</v>
      </c>
      <c r="S532" s="6">
        <v>5</v>
      </c>
      <c r="T532" s="6">
        <v>6</v>
      </c>
      <c r="U532" s="6">
        <v>7</v>
      </c>
      <c r="V532" s="6">
        <v>8</v>
      </c>
      <c r="W532" s="6">
        <v>9</v>
      </c>
      <c r="X532" s="7">
        <v>10</v>
      </c>
    </row>
    <row r="533" spans="1:24" ht="24.95" customHeight="1" thickTop="1" x14ac:dyDescent="0.2">
      <c r="A533" s="55">
        <v>1</v>
      </c>
      <c r="B533" s="50" t="s">
        <v>82</v>
      </c>
      <c r="C533" s="137" t="s">
        <v>12</v>
      </c>
      <c r="D533" s="137" t="s">
        <v>12</v>
      </c>
      <c r="E533" s="137" t="s">
        <v>12</v>
      </c>
      <c r="F533" s="137" t="s">
        <v>12</v>
      </c>
      <c r="G533" s="137" t="s">
        <v>12</v>
      </c>
      <c r="H533" s="137" t="s">
        <v>12</v>
      </c>
      <c r="I533" s="137" t="s">
        <v>12</v>
      </c>
      <c r="J533" s="90"/>
      <c r="O533" s="55">
        <v>1</v>
      </c>
      <c r="P533" s="50" t="s">
        <v>82</v>
      </c>
      <c r="Q533" s="137" t="s">
        <v>12</v>
      </c>
      <c r="R533" s="137" t="s">
        <v>12</v>
      </c>
      <c r="S533" s="137" t="s">
        <v>12</v>
      </c>
      <c r="T533" s="137" t="s">
        <v>12</v>
      </c>
      <c r="U533" s="137" t="s">
        <v>12</v>
      </c>
      <c r="V533" s="137" t="s">
        <v>12</v>
      </c>
      <c r="W533" s="137" t="s">
        <v>12</v>
      </c>
      <c r="X533" s="91"/>
    </row>
    <row r="534" spans="1:24" ht="24.95" customHeight="1" x14ac:dyDescent="0.2">
      <c r="A534" s="56">
        <v>2</v>
      </c>
      <c r="B534" s="51" t="s">
        <v>61</v>
      </c>
      <c r="C534" s="137" t="s">
        <v>12</v>
      </c>
      <c r="D534" s="137" t="s">
        <v>12</v>
      </c>
      <c r="E534" s="137" t="s">
        <v>12</v>
      </c>
      <c r="F534" s="137" t="s">
        <v>12</v>
      </c>
      <c r="G534" s="137" t="s">
        <v>12</v>
      </c>
      <c r="H534" s="137" t="s">
        <v>12</v>
      </c>
      <c r="I534" s="137" t="s">
        <v>12</v>
      </c>
      <c r="J534" s="90"/>
      <c r="O534" s="56">
        <v>2</v>
      </c>
      <c r="P534" s="51" t="s">
        <v>61</v>
      </c>
      <c r="Q534" s="137" t="s">
        <v>12</v>
      </c>
      <c r="R534" s="137" t="s">
        <v>12</v>
      </c>
      <c r="S534" s="137" t="s">
        <v>12</v>
      </c>
      <c r="T534" s="137" t="s">
        <v>12</v>
      </c>
      <c r="U534" s="137" t="s">
        <v>12</v>
      </c>
      <c r="V534" s="137" t="s">
        <v>12</v>
      </c>
      <c r="W534" s="137" t="s">
        <v>12</v>
      </c>
      <c r="X534" s="90"/>
    </row>
    <row r="535" spans="1:24" ht="24.95" customHeight="1" x14ac:dyDescent="0.2">
      <c r="A535" s="57">
        <v>3</v>
      </c>
      <c r="B535" s="52" t="s">
        <v>75</v>
      </c>
      <c r="C535" s="137" t="s">
        <v>12</v>
      </c>
      <c r="D535" s="137" t="s">
        <v>12</v>
      </c>
      <c r="E535" s="137" t="s">
        <v>12</v>
      </c>
      <c r="F535" s="137" t="s">
        <v>12</v>
      </c>
      <c r="G535" s="137" t="s">
        <v>12</v>
      </c>
      <c r="H535" s="137" t="s">
        <v>12</v>
      </c>
      <c r="I535" s="137" t="s">
        <v>12</v>
      </c>
      <c r="J535" s="105"/>
      <c r="O535" s="57">
        <v>3</v>
      </c>
      <c r="P535" s="52" t="s">
        <v>75</v>
      </c>
      <c r="Q535" s="137" t="s">
        <v>12</v>
      </c>
      <c r="R535" s="137" t="s">
        <v>12</v>
      </c>
      <c r="S535" s="137" t="s">
        <v>12</v>
      </c>
      <c r="T535" s="137" t="s">
        <v>12</v>
      </c>
      <c r="U535" s="137" t="s">
        <v>12</v>
      </c>
      <c r="V535" s="137" t="s">
        <v>12</v>
      </c>
      <c r="W535" s="137" t="s">
        <v>12</v>
      </c>
      <c r="X535" s="105"/>
    </row>
    <row r="536" spans="1:24" ht="24.95" customHeight="1" x14ac:dyDescent="0.2">
      <c r="A536" s="57">
        <v>4</v>
      </c>
      <c r="B536" s="52" t="s">
        <v>68</v>
      </c>
      <c r="C536" s="137" t="s">
        <v>12</v>
      </c>
      <c r="D536" s="137" t="s">
        <v>12</v>
      </c>
      <c r="E536" s="137" t="s">
        <v>12</v>
      </c>
      <c r="F536" s="137" t="s">
        <v>12</v>
      </c>
      <c r="G536" s="137" t="s">
        <v>12</v>
      </c>
      <c r="H536" s="137" t="s">
        <v>12</v>
      </c>
      <c r="I536" s="137" t="s">
        <v>12</v>
      </c>
      <c r="J536" s="90"/>
      <c r="O536" s="57">
        <v>4</v>
      </c>
      <c r="P536" s="52" t="s">
        <v>68</v>
      </c>
      <c r="Q536" s="137" t="s">
        <v>12</v>
      </c>
      <c r="R536" s="137" t="s">
        <v>12</v>
      </c>
      <c r="S536" s="137" t="s">
        <v>12</v>
      </c>
      <c r="T536" s="137" t="s">
        <v>12</v>
      </c>
      <c r="U536" s="137" t="s">
        <v>12</v>
      </c>
      <c r="V536" s="137" t="s">
        <v>12</v>
      </c>
      <c r="W536" s="137" t="s">
        <v>12</v>
      </c>
      <c r="X536" s="91"/>
    </row>
    <row r="537" spans="1:24" ht="24.95" customHeight="1" x14ac:dyDescent="0.2">
      <c r="A537" s="57">
        <v>5</v>
      </c>
      <c r="B537" s="53" t="s">
        <v>66</v>
      </c>
      <c r="C537" s="137" t="s">
        <v>12</v>
      </c>
      <c r="D537" s="137">
        <v>1</v>
      </c>
      <c r="E537" s="137">
        <v>2</v>
      </c>
      <c r="F537" s="137">
        <f>E537+D537</f>
        <v>3</v>
      </c>
      <c r="G537" s="154">
        <f>H537/1000*D537</f>
        <v>0.3</v>
      </c>
      <c r="H537" s="137">
        <v>300</v>
      </c>
      <c r="I537" s="137">
        <v>12</v>
      </c>
      <c r="J537" s="90"/>
      <c r="O537" s="57">
        <v>5</v>
      </c>
      <c r="P537" s="53" t="s">
        <v>66</v>
      </c>
      <c r="Q537" s="137" t="s">
        <v>12</v>
      </c>
      <c r="R537" s="137">
        <v>1</v>
      </c>
      <c r="S537" s="137">
        <v>2</v>
      </c>
      <c r="T537" s="137">
        <f>S537+R537</f>
        <v>3</v>
      </c>
      <c r="U537" s="154">
        <f>V537/1000*R537</f>
        <v>0.3</v>
      </c>
      <c r="V537" s="137">
        <v>300</v>
      </c>
      <c r="W537" s="137">
        <v>12</v>
      </c>
      <c r="X537" s="91"/>
    </row>
    <row r="538" spans="1:24" ht="24.95" customHeight="1" x14ac:dyDescent="0.2">
      <c r="A538" s="57">
        <v>6</v>
      </c>
      <c r="B538" s="52" t="s">
        <v>67</v>
      </c>
      <c r="C538" s="137" t="s">
        <v>12</v>
      </c>
      <c r="D538" s="137" t="s">
        <v>12</v>
      </c>
      <c r="E538" s="137" t="s">
        <v>12</v>
      </c>
      <c r="F538" s="137" t="s">
        <v>12</v>
      </c>
      <c r="G538" s="137" t="s">
        <v>12</v>
      </c>
      <c r="H538" s="137" t="s">
        <v>12</v>
      </c>
      <c r="I538" s="137" t="s">
        <v>12</v>
      </c>
      <c r="J538" s="90"/>
      <c r="O538" s="57">
        <v>6</v>
      </c>
      <c r="P538" s="52" t="s">
        <v>67</v>
      </c>
      <c r="Q538" s="137" t="s">
        <v>12</v>
      </c>
      <c r="R538" s="137" t="s">
        <v>12</v>
      </c>
      <c r="S538" s="137" t="s">
        <v>12</v>
      </c>
      <c r="T538" s="137" t="s">
        <v>12</v>
      </c>
      <c r="U538" s="137" t="s">
        <v>12</v>
      </c>
      <c r="V538" s="137" t="s">
        <v>12</v>
      </c>
      <c r="W538" s="137" t="s">
        <v>12</v>
      </c>
      <c r="X538" s="91"/>
    </row>
    <row r="539" spans="1:24" ht="24.95" customHeight="1" x14ac:dyDescent="0.2">
      <c r="A539" s="57">
        <v>7</v>
      </c>
      <c r="B539" s="52" t="s">
        <v>69</v>
      </c>
      <c r="C539" s="137" t="s">
        <v>12</v>
      </c>
      <c r="D539" s="137" t="s">
        <v>12</v>
      </c>
      <c r="E539" s="137" t="s">
        <v>12</v>
      </c>
      <c r="F539" s="137" t="s">
        <v>12</v>
      </c>
      <c r="G539" s="137" t="s">
        <v>12</v>
      </c>
      <c r="H539" s="137" t="s">
        <v>12</v>
      </c>
      <c r="I539" s="137" t="s">
        <v>12</v>
      </c>
      <c r="J539" s="90"/>
      <c r="O539" s="57">
        <v>7</v>
      </c>
      <c r="P539" s="52" t="s">
        <v>69</v>
      </c>
      <c r="Q539" s="137" t="s">
        <v>12</v>
      </c>
      <c r="R539" s="137" t="s">
        <v>12</v>
      </c>
      <c r="S539" s="137" t="s">
        <v>12</v>
      </c>
      <c r="T539" s="137" t="s">
        <v>12</v>
      </c>
      <c r="U539" s="137" t="s">
        <v>12</v>
      </c>
      <c r="V539" s="137" t="s">
        <v>12</v>
      </c>
      <c r="W539" s="137" t="s">
        <v>12</v>
      </c>
      <c r="X539" s="90"/>
    </row>
    <row r="540" spans="1:24" ht="24.95" customHeight="1" x14ac:dyDescent="0.2">
      <c r="A540" s="57">
        <v>8</v>
      </c>
      <c r="B540" s="52" t="s">
        <v>70</v>
      </c>
      <c r="C540" s="137" t="s">
        <v>12</v>
      </c>
      <c r="D540" s="137" t="s">
        <v>12</v>
      </c>
      <c r="E540" s="137" t="s">
        <v>12</v>
      </c>
      <c r="F540" s="137" t="s">
        <v>12</v>
      </c>
      <c r="G540" s="137" t="s">
        <v>12</v>
      </c>
      <c r="H540" s="137" t="s">
        <v>12</v>
      </c>
      <c r="I540" s="137" t="s">
        <v>12</v>
      </c>
      <c r="J540" s="90"/>
      <c r="O540" s="57">
        <v>8</v>
      </c>
      <c r="P540" s="52" t="s">
        <v>70</v>
      </c>
      <c r="Q540" s="137" t="s">
        <v>12</v>
      </c>
      <c r="R540" s="137" t="s">
        <v>12</v>
      </c>
      <c r="S540" s="137" t="s">
        <v>12</v>
      </c>
      <c r="T540" s="137" t="s">
        <v>12</v>
      </c>
      <c r="U540" s="137" t="s">
        <v>12</v>
      </c>
      <c r="V540" s="137" t="s">
        <v>12</v>
      </c>
      <c r="W540" s="137" t="s">
        <v>12</v>
      </c>
      <c r="X540" s="90"/>
    </row>
    <row r="541" spans="1:24" ht="24.95" customHeight="1" x14ac:dyDescent="0.2">
      <c r="A541" s="57">
        <v>9</v>
      </c>
      <c r="B541" s="52" t="s">
        <v>71</v>
      </c>
      <c r="C541" s="137" t="s">
        <v>12</v>
      </c>
      <c r="D541" s="137" t="s">
        <v>12</v>
      </c>
      <c r="E541" s="137" t="s">
        <v>12</v>
      </c>
      <c r="F541" s="137" t="s">
        <v>12</v>
      </c>
      <c r="G541" s="137" t="s">
        <v>12</v>
      </c>
      <c r="H541" s="137" t="s">
        <v>12</v>
      </c>
      <c r="I541" s="137" t="s">
        <v>12</v>
      </c>
      <c r="J541" s="90"/>
      <c r="O541" s="57">
        <v>9</v>
      </c>
      <c r="P541" s="52" t="s">
        <v>71</v>
      </c>
      <c r="Q541" s="137" t="s">
        <v>12</v>
      </c>
      <c r="R541" s="137" t="s">
        <v>12</v>
      </c>
      <c r="S541" s="137" t="s">
        <v>12</v>
      </c>
      <c r="T541" s="137" t="s">
        <v>12</v>
      </c>
      <c r="U541" s="137" t="s">
        <v>12</v>
      </c>
      <c r="V541" s="137" t="s">
        <v>12</v>
      </c>
      <c r="W541" s="137" t="s">
        <v>12</v>
      </c>
      <c r="X541" s="90"/>
    </row>
    <row r="542" spans="1:24" ht="24.95" customHeight="1" x14ac:dyDescent="0.2">
      <c r="A542" s="57">
        <v>10</v>
      </c>
      <c r="B542" s="52" t="s">
        <v>72</v>
      </c>
      <c r="C542" s="121">
        <v>1</v>
      </c>
      <c r="D542" s="121">
        <v>5</v>
      </c>
      <c r="E542" s="121">
        <v>5</v>
      </c>
      <c r="F542" s="121">
        <f>E542+D542+C542</f>
        <v>11</v>
      </c>
      <c r="G542" s="83">
        <f>H542/1000*D542</f>
        <v>1.5</v>
      </c>
      <c r="H542" s="121">
        <v>300</v>
      </c>
      <c r="I542" s="121">
        <v>12</v>
      </c>
      <c r="J542" s="90"/>
      <c r="O542" s="57">
        <v>10</v>
      </c>
      <c r="P542" s="52" t="s">
        <v>72</v>
      </c>
      <c r="Q542" s="121">
        <v>1</v>
      </c>
      <c r="R542" s="121">
        <v>5</v>
      </c>
      <c r="S542" s="121">
        <v>5</v>
      </c>
      <c r="T542" s="121">
        <f>S542+R542+Q542</f>
        <v>11</v>
      </c>
      <c r="U542" s="83">
        <f>V542/1000*R542</f>
        <v>1.5</v>
      </c>
      <c r="V542" s="121">
        <v>300</v>
      </c>
      <c r="W542" s="121">
        <v>12</v>
      </c>
      <c r="X542" s="91"/>
    </row>
    <row r="543" spans="1:24" ht="24.95" customHeight="1" thickBot="1" x14ac:dyDescent="0.25">
      <c r="A543" s="57">
        <v>11</v>
      </c>
      <c r="B543" s="54" t="s">
        <v>73</v>
      </c>
      <c r="C543" s="121">
        <v>48</v>
      </c>
      <c r="D543" s="121">
        <v>17</v>
      </c>
      <c r="E543" s="121">
        <v>11</v>
      </c>
      <c r="F543" s="121">
        <f>E543+D543+C543</f>
        <v>76</v>
      </c>
      <c r="G543" s="83">
        <f>H543/1000*D543</f>
        <v>5.0999999999999996</v>
      </c>
      <c r="H543" s="121">
        <v>300</v>
      </c>
      <c r="I543" s="121">
        <v>67</v>
      </c>
      <c r="J543" s="90"/>
      <c r="O543" s="57">
        <v>11</v>
      </c>
      <c r="P543" s="54" t="s">
        <v>73</v>
      </c>
      <c r="Q543" s="121">
        <v>48</v>
      </c>
      <c r="R543" s="121">
        <v>17</v>
      </c>
      <c r="S543" s="121">
        <v>11</v>
      </c>
      <c r="T543" s="121">
        <f>S543+R543+Q543</f>
        <v>76</v>
      </c>
      <c r="U543" s="83">
        <f>V543/1000*R543</f>
        <v>5.0999999999999996</v>
      </c>
      <c r="V543" s="121">
        <v>300</v>
      </c>
      <c r="W543" s="121">
        <v>67</v>
      </c>
      <c r="X543" s="91"/>
    </row>
    <row r="544" spans="1:24" ht="24.95" customHeight="1" thickTop="1" thickBot="1" x14ac:dyDescent="0.25">
      <c r="A544" s="454" t="s">
        <v>13</v>
      </c>
      <c r="B544" s="455"/>
      <c r="C544" s="9">
        <f>SUM(C533:C543)</f>
        <v>49</v>
      </c>
      <c r="D544" s="10">
        <f>SUM(D533:D543)</f>
        <v>23</v>
      </c>
      <c r="E544" s="9">
        <f>SUM(E533:E543)</f>
        <v>18</v>
      </c>
      <c r="F544" s="15">
        <f>SUM(F533:F543)</f>
        <v>90</v>
      </c>
      <c r="G544" s="107">
        <f>H544/1000*D544</f>
        <v>6.8999999999999995</v>
      </c>
      <c r="H544" s="10">
        <v>300</v>
      </c>
      <c r="I544" s="11">
        <f>SUM(I533:I543)</f>
        <v>91</v>
      </c>
      <c r="J544" s="12"/>
      <c r="O544" s="454" t="s">
        <v>13</v>
      </c>
      <c r="P544" s="455"/>
      <c r="Q544" s="9">
        <f>SUM(Q533:Q543)</f>
        <v>49</v>
      </c>
      <c r="R544" s="10">
        <f>SUM(R533:R543)</f>
        <v>23</v>
      </c>
      <c r="S544" s="9">
        <f>SUM(S533:S543)</f>
        <v>18</v>
      </c>
      <c r="T544" s="15">
        <f>SUM(T533:T543)</f>
        <v>90</v>
      </c>
      <c r="U544" s="107">
        <f>V544/1000*R544</f>
        <v>6.8999999999999995</v>
      </c>
      <c r="V544" s="10">
        <v>300</v>
      </c>
      <c r="W544" s="11">
        <f>SUM(W533:W543)</f>
        <v>91</v>
      </c>
      <c r="X544" s="67"/>
    </row>
    <row r="545" spans="2:24" ht="24.95" customHeight="1" thickTop="1" x14ac:dyDescent="0.2">
      <c r="H545">
        <f>G544/D544*1000</f>
        <v>300</v>
      </c>
    </row>
    <row r="546" spans="2:24" ht="24.95" customHeight="1" x14ac:dyDescent="0.2">
      <c r="B546" s="45" t="s">
        <v>4</v>
      </c>
      <c r="C546" s="210" t="s">
        <v>63</v>
      </c>
      <c r="F546" s="21"/>
      <c r="G546" s="45"/>
      <c r="P546" s="38"/>
      <c r="Q546" s="21"/>
      <c r="R546" s="21"/>
      <c r="S546" s="21"/>
      <c r="T546" s="21"/>
      <c r="U546" s="45" t="s">
        <v>112</v>
      </c>
    </row>
    <row r="547" spans="2:24" ht="24.95" customHeight="1" x14ac:dyDescent="0.2">
      <c r="B547" s="45" t="s">
        <v>5</v>
      </c>
      <c r="C547" s="210" t="s">
        <v>64</v>
      </c>
      <c r="G547" s="409"/>
      <c r="H547" s="410"/>
      <c r="I547" s="410"/>
      <c r="J547" s="410"/>
      <c r="U547" s="47" t="s">
        <v>38</v>
      </c>
      <c r="V547" s="46"/>
      <c r="W547" s="46"/>
      <c r="X547" s="46"/>
    </row>
    <row r="548" spans="2:24" ht="24.95" customHeight="1" x14ac:dyDescent="0.2">
      <c r="B548" s="45" t="s">
        <v>6</v>
      </c>
      <c r="C548" s="210" t="s">
        <v>65</v>
      </c>
      <c r="G548" s="45"/>
      <c r="U548" s="45" t="s">
        <v>113</v>
      </c>
    </row>
    <row r="549" spans="2:24" ht="24.95" customHeight="1" x14ac:dyDescent="0.2">
      <c r="G549" s="409"/>
      <c r="H549" s="409"/>
      <c r="I549" s="409"/>
      <c r="J549" s="409"/>
      <c r="U549" s="409"/>
      <c r="V549" s="409"/>
      <c r="W549" s="409"/>
      <c r="X549" s="409"/>
    </row>
    <row r="550" spans="2:24" ht="24.95" customHeight="1" x14ac:dyDescent="0.2">
      <c r="G550" s="349"/>
      <c r="H550" s="349"/>
      <c r="I550" s="349"/>
      <c r="J550" s="349"/>
      <c r="U550" s="349"/>
      <c r="V550" s="349"/>
      <c r="W550" s="349"/>
      <c r="X550" s="349"/>
    </row>
    <row r="551" spans="2:24" ht="24.95" customHeight="1" x14ac:dyDescent="0.2">
      <c r="G551" s="349"/>
      <c r="H551" s="349"/>
      <c r="I551" s="349"/>
      <c r="J551" s="349"/>
      <c r="U551" s="349"/>
      <c r="V551" s="349"/>
      <c r="W551" s="349"/>
      <c r="X551" s="349"/>
    </row>
    <row r="552" spans="2:24" ht="24.95" customHeight="1" x14ac:dyDescent="0.2">
      <c r="G552" s="349"/>
      <c r="H552" s="349"/>
      <c r="I552" s="349"/>
      <c r="J552" s="349"/>
      <c r="U552" s="349"/>
      <c r="V552" s="349"/>
      <c r="W552" s="349"/>
      <c r="X552" s="349"/>
    </row>
    <row r="553" spans="2:24" ht="24.95" customHeight="1" x14ac:dyDescent="0.2">
      <c r="G553" s="349"/>
      <c r="H553" s="349"/>
      <c r="I553" s="349"/>
      <c r="J553" s="349"/>
      <c r="U553" s="349"/>
      <c r="V553" s="349"/>
      <c r="W553" s="349"/>
      <c r="X553" s="349"/>
    </row>
    <row r="554" spans="2:24" ht="24.95" customHeight="1" x14ac:dyDescent="0.2">
      <c r="G554" s="349"/>
      <c r="H554" s="349"/>
      <c r="I554" s="349"/>
      <c r="J554" s="349"/>
      <c r="U554" s="349"/>
      <c r="V554" s="349"/>
      <c r="W554" s="349"/>
      <c r="X554" s="349"/>
    </row>
    <row r="555" spans="2:24" ht="24.95" customHeight="1" x14ac:dyDescent="0.2">
      <c r="G555" s="349"/>
      <c r="H555" s="349"/>
      <c r="I555" s="349"/>
      <c r="J555" s="349"/>
      <c r="U555" s="349"/>
      <c r="V555" s="349"/>
      <c r="W555" s="349"/>
      <c r="X555" s="349"/>
    </row>
    <row r="556" spans="2:24" ht="24.95" customHeight="1" x14ac:dyDescent="0.2">
      <c r="G556" s="349"/>
      <c r="H556" s="349"/>
      <c r="I556" s="349"/>
      <c r="J556" s="349"/>
      <c r="U556" s="349"/>
      <c r="V556" s="349"/>
      <c r="W556" s="349"/>
      <c r="X556" s="349"/>
    </row>
    <row r="557" spans="2:24" ht="24.95" customHeight="1" x14ac:dyDescent="0.2">
      <c r="G557" s="349"/>
      <c r="H557" s="349"/>
      <c r="I557" s="349"/>
      <c r="J557" s="349"/>
      <c r="U557" s="349"/>
      <c r="V557" s="349"/>
      <c r="W557" s="349"/>
      <c r="X557" s="349"/>
    </row>
    <row r="558" spans="2:24" ht="24.95" customHeight="1" x14ac:dyDescent="0.2">
      <c r="G558" s="349"/>
      <c r="H558" s="349"/>
      <c r="I558" s="349"/>
      <c r="J558" s="349"/>
      <c r="U558" s="349"/>
      <c r="V558" s="349"/>
      <c r="W558" s="349"/>
      <c r="X558" s="349"/>
    </row>
    <row r="559" spans="2:24" ht="24.95" customHeight="1" x14ac:dyDescent="0.2">
      <c r="G559" s="349"/>
      <c r="H559" s="349"/>
      <c r="I559" s="349"/>
      <c r="J559" s="349"/>
      <c r="U559" s="349"/>
      <c r="V559" s="349"/>
      <c r="W559" s="349"/>
      <c r="X559" s="349"/>
    </row>
    <row r="560" spans="2:24" ht="24.95" customHeight="1" x14ac:dyDescent="0.2">
      <c r="G560" s="349"/>
      <c r="H560" s="349"/>
      <c r="I560" s="349"/>
      <c r="J560" s="349"/>
      <c r="U560" s="349"/>
      <c r="V560" s="349"/>
      <c r="W560" s="349"/>
      <c r="X560" s="349"/>
    </row>
    <row r="561" spans="1:24" ht="24.95" customHeight="1" x14ac:dyDescent="0.2">
      <c r="G561" s="349"/>
      <c r="H561" s="349"/>
      <c r="I561" s="349"/>
      <c r="J561" s="349"/>
      <c r="U561" s="349"/>
      <c r="V561" s="349"/>
      <c r="W561" s="349"/>
      <c r="X561" s="349"/>
    </row>
    <row r="562" spans="1:24" ht="24.95" customHeight="1" x14ac:dyDescent="0.3">
      <c r="A562" s="422" t="s">
        <v>51</v>
      </c>
      <c r="B562" s="422"/>
      <c r="C562" s="422"/>
      <c r="D562" s="422"/>
      <c r="E562" s="422"/>
      <c r="F562" s="422"/>
      <c r="G562" s="422"/>
      <c r="H562" s="422"/>
      <c r="I562" s="422"/>
      <c r="J562" s="422"/>
      <c r="O562" s="452" t="s">
        <v>51</v>
      </c>
      <c r="P562" s="452"/>
      <c r="Q562" s="452"/>
      <c r="R562" s="452"/>
      <c r="S562" s="452"/>
      <c r="T562" s="452"/>
      <c r="U562" s="452"/>
      <c r="V562" s="452"/>
      <c r="W562" s="452"/>
      <c r="X562" s="452"/>
    </row>
    <row r="563" spans="1:24" ht="24.95" customHeight="1" x14ac:dyDescent="0.3">
      <c r="A563" s="422" t="s">
        <v>53</v>
      </c>
      <c r="B563" s="422"/>
      <c r="C563" s="422"/>
      <c r="D563" s="422"/>
      <c r="E563" s="422"/>
      <c r="F563" s="422"/>
      <c r="G563" s="422"/>
      <c r="H563" s="422"/>
      <c r="I563" s="422"/>
      <c r="J563" s="422"/>
      <c r="O563" s="452" t="s">
        <v>53</v>
      </c>
      <c r="P563" s="452"/>
      <c r="Q563" s="452"/>
      <c r="R563" s="452"/>
      <c r="S563" s="452"/>
      <c r="T563" s="452"/>
      <c r="U563" s="452"/>
      <c r="V563" s="452"/>
      <c r="W563" s="452"/>
      <c r="X563" s="452"/>
    </row>
    <row r="564" spans="1:24" ht="24.95" customHeight="1" x14ac:dyDescent="0.3">
      <c r="A564" s="422" t="s">
        <v>114</v>
      </c>
      <c r="B564" s="422"/>
      <c r="C564" s="422"/>
      <c r="D564" s="422"/>
      <c r="E564" s="422"/>
      <c r="F564" s="422"/>
      <c r="G564" s="422"/>
      <c r="H564" s="422"/>
      <c r="I564" s="422"/>
      <c r="J564" s="422"/>
      <c r="O564" s="452" t="s">
        <v>52</v>
      </c>
      <c r="P564" s="452"/>
      <c r="Q564" s="452"/>
      <c r="R564" s="452"/>
      <c r="S564" s="452"/>
      <c r="T564" s="452"/>
      <c r="U564" s="452"/>
      <c r="V564" s="452"/>
      <c r="W564" s="452"/>
      <c r="X564" s="452"/>
    </row>
    <row r="565" spans="1:24" ht="24.95" customHeight="1" x14ac:dyDescent="0.3">
      <c r="A565" s="355"/>
      <c r="B565" s="355"/>
      <c r="C565" s="355"/>
      <c r="D565" s="355"/>
      <c r="E565" s="355"/>
      <c r="F565" s="355"/>
      <c r="G565" s="355"/>
      <c r="H565" s="355"/>
      <c r="I565" s="355"/>
      <c r="J565" s="355"/>
      <c r="O565" s="355"/>
      <c r="P565" s="355"/>
      <c r="Q565" s="355"/>
      <c r="R565" s="355"/>
      <c r="S565" s="355"/>
      <c r="T565" s="355"/>
      <c r="U565" s="355"/>
      <c r="V565" s="355"/>
      <c r="W565" s="355"/>
      <c r="X565" s="355"/>
    </row>
    <row r="566" spans="1:24" ht="24.95" customHeight="1" x14ac:dyDescent="0.2">
      <c r="A566" t="s">
        <v>0</v>
      </c>
      <c r="C566" s="45" t="s">
        <v>91</v>
      </c>
      <c r="O566" t="s">
        <v>0</v>
      </c>
      <c r="Q566" s="45" t="s">
        <v>91</v>
      </c>
    </row>
    <row r="567" spans="1:24" ht="24.95" customHeight="1" thickBot="1" x14ac:dyDescent="0.25">
      <c r="A567" s="45"/>
      <c r="E567" s="45"/>
      <c r="O567" s="45"/>
      <c r="S567" s="45"/>
    </row>
    <row r="568" spans="1:24" ht="30" customHeight="1" thickTop="1" thickBot="1" x14ac:dyDescent="0.25">
      <c r="A568" s="1" t="s">
        <v>2</v>
      </c>
      <c r="B568" s="2" t="s">
        <v>3</v>
      </c>
      <c r="C568" s="2" t="s">
        <v>4</v>
      </c>
      <c r="D568" s="2" t="s">
        <v>5</v>
      </c>
      <c r="E568" s="2" t="s">
        <v>6</v>
      </c>
      <c r="F568" s="3" t="s">
        <v>44</v>
      </c>
      <c r="G568" s="3" t="s">
        <v>8</v>
      </c>
      <c r="H568" s="3" t="s">
        <v>9</v>
      </c>
      <c r="I568" s="3" t="s">
        <v>10</v>
      </c>
      <c r="J568" s="4" t="s">
        <v>11</v>
      </c>
      <c r="L568" s="370" t="s">
        <v>48</v>
      </c>
      <c r="O568" s="1" t="s">
        <v>2</v>
      </c>
      <c r="P568" s="2" t="s">
        <v>3</v>
      </c>
      <c r="Q568" s="2" t="s">
        <v>4</v>
      </c>
      <c r="R568" s="2" t="s">
        <v>5</v>
      </c>
      <c r="S568" s="2" t="s">
        <v>6</v>
      </c>
      <c r="T568" s="3" t="s">
        <v>44</v>
      </c>
      <c r="U568" s="3" t="s">
        <v>8</v>
      </c>
      <c r="V568" s="3" t="s">
        <v>9</v>
      </c>
      <c r="W568" s="3" t="s">
        <v>10</v>
      </c>
      <c r="X568" s="4" t="s">
        <v>11</v>
      </c>
    </row>
    <row r="569" spans="1:24" ht="24.95" customHeight="1" thickTop="1" thickBot="1" x14ac:dyDescent="0.3">
      <c r="A569" s="5">
        <v>1</v>
      </c>
      <c r="B569" s="6">
        <v>2</v>
      </c>
      <c r="C569" s="6">
        <v>3</v>
      </c>
      <c r="D569" s="6">
        <v>4</v>
      </c>
      <c r="E569" s="6">
        <v>5</v>
      </c>
      <c r="F569" s="6">
        <v>6</v>
      </c>
      <c r="G569" s="6">
        <v>7</v>
      </c>
      <c r="H569" s="6">
        <v>8</v>
      </c>
      <c r="I569" s="6">
        <v>9</v>
      </c>
      <c r="J569" s="7">
        <v>10</v>
      </c>
      <c r="O569" s="5">
        <v>1</v>
      </c>
      <c r="P569" s="6">
        <v>2</v>
      </c>
      <c r="Q569" s="6">
        <v>3</v>
      </c>
      <c r="R569" s="6">
        <v>4</v>
      </c>
      <c r="S569" s="6">
        <v>5</v>
      </c>
      <c r="T569" s="6">
        <v>6</v>
      </c>
      <c r="U569" s="6">
        <v>7</v>
      </c>
      <c r="V569" s="6">
        <v>8</v>
      </c>
      <c r="W569" s="6">
        <v>9</v>
      </c>
      <c r="X569" s="7">
        <v>10</v>
      </c>
    </row>
    <row r="570" spans="1:24" ht="24.95" customHeight="1" thickTop="1" x14ac:dyDescent="0.2">
      <c r="A570" s="55">
        <v>1</v>
      </c>
      <c r="B570" s="50" t="s">
        <v>82</v>
      </c>
      <c r="C570" s="137" t="s">
        <v>12</v>
      </c>
      <c r="D570" s="137" t="s">
        <v>12</v>
      </c>
      <c r="E570" s="137" t="s">
        <v>12</v>
      </c>
      <c r="F570" s="137" t="s">
        <v>12</v>
      </c>
      <c r="G570" s="137" t="s">
        <v>12</v>
      </c>
      <c r="H570" s="137" t="s">
        <v>12</v>
      </c>
      <c r="I570" s="137" t="s">
        <v>12</v>
      </c>
      <c r="J570" s="90"/>
      <c r="O570" s="55">
        <v>1</v>
      </c>
      <c r="P570" s="50" t="s">
        <v>82</v>
      </c>
      <c r="Q570" s="137" t="s">
        <v>12</v>
      </c>
      <c r="R570" s="137" t="s">
        <v>12</v>
      </c>
      <c r="S570" s="137" t="s">
        <v>12</v>
      </c>
      <c r="T570" s="137" t="s">
        <v>12</v>
      </c>
      <c r="U570" s="137" t="s">
        <v>12</v>
      </c>
      <c r="V570" s="137" t="s">
        <v>12</v>
      </c>
      <c r="W570" s="137" t="s">
        <v>12</v>
      </c>
      <c r="X570" s="91"/>
    </row>
    <row r="571" spans="1:24" ht="24.95" customHeight="1" x14ac:dyDescent="0.2">
      <c r="A571" s="56">
        <v>2</v>
      </c>
      <c r="B571" s="51" t="s">
        <v>61</v>
      </c>
      <c r="C571" s="137" t="s">
        <v>12</v>
      </c>
      <c r="D571" s="137" t="s">
        <v>12</v>
      </c>
      <c r="E571" s="137" t="s">
        <v>12</v>
      </c>
      <c r="F571" s="137" t="s">
        <v>12</v>
      </c>
      <c r="G571" s="137" t="s">
        <v>12</v>
      </c>
      <c r="H571" s="137" t="s">
        <v>12</v>
      </c>
      <c r="I571" s="137" t="s">
        <v>12</v>
      </c>
      <c r="J571" s="90"/>
      <c r="O571" s="56">
        <v>2</v>
      </c>
      <c r="P571" s="51" t="s">
        <v>61</v>
      </c>
      <c r="Q571" s="137" t="s">
        <v>12</v>
      </c>
      <c r="R571" s="137" t="s">
        <v>12</v>
      </c>
      <c r="S571" s="137" t="s">
        <v>12</v>
      </c>
      <c r="T571" s="137" t="s">
        <v>12</v>
      </c>
      <c r="U571" s="137" t="s">
        <v>12</v>
      </c>
      <c r="V571" s="137" t="s">
        <v>12</v>
      </c>
      <c r="W571" s="137" t="s">
        <v>12</v>
      </c>
      <c r="X571" s="90"/>
    </row>
    <row r="572" spans="1:24" ht="24.95" customHeight="1" x14ac:dyDescent="0.2">
      <c r="A572" s="57">
        <v>3</v>
      </c>
      <c r="B572" s="52" t="s">
        <v>75</v>
      </c>
      <c r="C572" s="137" t="s">
        <v>12</v>
      </c>
      <c r="D572" s="137" t="s">
        <v>12</v>
      </c>
      <c r="E572" s="137" t="s">
        <v>12</v>
      </c>
      <c r="F572" s="137" t="s">
        <v>12</v>
      </c>
      <c r="G572" s="137" t="s">
        <v>12</v>
      </c>
      <c r="H572" s="137" t="s">
        <v>12</v>
      </c>
      <c r="I572" s="137" t="s">
        <v>12</v>
      </c>
      <c r="J572" s="105"/>
      <c r="O572" s="57">
        <v>3</v>
      </c>
      <c r="P572" s="52" t="s">
        <v>75</v>
      </c>
      <c r="Q572" s="137" t="s">
        <v>12</v>
      </c>
      <c r="R572" s="137" t="s">
        <v>12</v>
      </c>
      <c r="S572" s="137" t="s">
        <v>12</v>
      </c>
      <c r="T572" s="137" t="s">
        <v>12</v>
      </c>
      <c r="U572" s="137" t="s">
        <v>12</v>
      </c>
      <c r="V572" s="137" t="s">
        <v>12</v>
      </c>
      <c r="W572" s="137" t="s">
        <v>12</v>
      </c>
      <c r="X572" s="105"/>
    </row>
    <row r="573" spans="1:24" ht="24.95" customHeight="1" x14ac:dyDescent="0.2">
      <c r="A573" s="57">
        <v>4</v>
      </c>
      <c r="B573" s="52" t="s">
        <v>68</v>
      </c>
      <c r="C573" s="137" t="s">
        <v>12</v>
      </c>
      <c r="D573" s="137">
        <v>1</v>
      </c>
      <c r="E573" s="137">
        <f>2-1</f>
        <v>1</v>
      </c>
      <c r="F573" s="137">
        <f>E573+D573</f>
        <v>2</v>
      </c>
      <c r="G573" s="154">
        <f>H573/1000*D573</f>
        <v>0.60399999999999998</v>
      </c>
      <c r="H573" s="137">
        <v>604</v>
      </c>
      <c r="I573" s="137">
        <v>22</v>
      </c>
      <c r="J573" s="90"/>
      <c r="L573" s="13">
        <f>D573-R573</f>
        <v>0</v>
      </c>
      <c r="O573" s="57">
        <v>4</v>
      </c>
      <c r="P573" s="52" t="s">
        <v>68</v>
      </c>
      <c r="Q573" s="137" t="s">
        <v>12</v>
      </c>
      <c r="R573" s="137">
        <v>1</v>
      </c>
      <c r="S573" s="137">
        <f>2-1</f>
        <v>1</v>
      </c>
      <c r="T573" s="137">
        <f>S573+R573</f>
        <v>2</v>
      </c>
      <c r="U573" s="154">
        <f>V573/1000*R573</f>
        <v>0.60399999999999998</v>
      </c>
      <c r="V573" s="137">
        <v>604</v>
      </c>
      <c r="W573" s="137">
        <v>22</v>
      </c>
      <c r="X573" s="91"/>
    </row>
    <row r="574" spans="1:24" ht="24.95" customHeight="1" x14ac:dyDescent="0.2">
      <c r="A574" s="57">
        <v>5</v>
      </c>
      <c r="B574" s="53" t="s">
        <v>66</v>
      </c>
      <c r="C574" s="137" t="s">
        <v>12</v>
      </c>
      <c r="D574" s="137" t="s">
        <v>12</v>
      </c>
      <c r="E574" s="137">
        <f>16-3</f>
        <v>13</v>
      </c>
      <c r="F574" s="137">
        <f>E574</f>
        <v>13</v>
      </c>
      <c r="G574" s="144" t="s">
        <v>12</v>
      </c>
      <c r="H574" s="137">
        <v>604</v>
      </c>
      <c r="I574" s="137">
        <f>104-7</f>
        <v>97</v>
      </c>
      <c r="J574" s="90"/>
      <c r="M574" s="13">
        <f>E574-S574</f>
        <v>0</v>
      </c>
      <c r="N574" s="13"/>
      <c r="O574" s="57">
        <v>5</v>
      </c>
      <c r="P574" s="53" t="s">
        <v>66</v>
      </c>
      <c r="Q574" s="137" t="s">
        <v>12</v>
      </c>
      <c r="R574" s="137" t="s">
        <v>12</v>
      </c>
      <c r="S574" s="137">
        <f>16-3</f>
        <v>13</v>
      </c>
      <c r="T574" s="137">
        <f>S574</f>
        <v>13</v>
      </c>
      <c r="U574" s="144" t="s">
        <v>12</v>
      </c>
      <c r="V574" s="137">
        <v>604</v>
      </c>
      <c r="W574" s="137">
        <f>104-7</f>
        <v>97</v>
      </c>
      <c r="X574" s="91"/>
    </row>
    <row r="575" spans="1:24" ht="24.95" customHeight="1" x14ac:dyDescent="0.2">
      <c r="A575" s="57">
        <v>6</v>
      </c>
      <c r="B575" s="52" t="s">
        <v>67</v>
      </c>
      <c r="C575" s="137" t="s">
        <v>12</v>
      </c>
      <c r="D575" s="137" t="s">
        <v>12</v>
      </c>
      <c r="E575" s="137" t="s">
        <v>12</v>
      </c>
      <c r="F575" s="137" t="s">
        <v>12</v>
      </c>
      <c r="G575" s="137" t="s">
        <v>12</v>
      </c>
      <c r="H575" s="137" t="s">
        <v>12</v>
      </c>
      <c r="I575" s="137" t="s">
        <v>12</v>
      </c>
      <c r="J575" s="90"/>
      <c r="O575" s="57">
        <v>6</v>
      </c>
      <c r="P575" s="52" t="s">
        <v>67</v>
      </c>
      <c r="Q575" s="137" t="s">
        <v>12</v>
      </c>
      <c r="R575" s="137" t="s">
        <v>12</v>
      </c>
      <c r="S575" s="137" t="s">
        <v>12</v>
      </c>
      <c r="T575" s="137" t="s">
        <v>12</v>
      </c>
      <c r="U575" s="137" t="s">
        <v>12</v>
      </c>
      <c r="V575" s="137" t="s">
        <v>12</v>
      </c>
      <c r="W575" s="137" t="s">
        <v>12</v>
      </c>
      <c r="X575" s="91"/>
    </row>
    <row r="576" spans="1:24" ht="24.95" customHeight="1" x14ac:dyDescent="0.2">
      <c r="A576" s="57">
        <v>7</v>
      </c>
      <c r="B576" s="52" t="s">
        <v>69</v>
      </c>
      <c r="C576" s="137" t="s">
        <v>12</v>
      </c>
      <c r="D576" s="137" t="s">
        <v>12</v>
      </c>
      <c r="E576" s="137" t="s">
        <v>12</v>
      </c>
      <c r="F576" s="137" t="s">
        <v>12</v>
      </c>
      <c r="G576" s="137" t="s">
        <v>12</v>
      </c>
      <c r="H576" s="137" t="s">
        <v>12</v>
      </c>
      <c r="I576" s="137" t="s">
        <v>12</v>
      </c>
      <c r="J576" s="90"/>
      <c r="O576" s="57">
        <v>7</v>
      </c>
      <c r="P576" s="52" t="s">
        <v>69</v>
      </c>
      <c r="Q576" s="137" t="s">
        <v>12</v>
      </c>
      <c r="R576" s="137" t="s">
        <v>12</v>
      </c>
      <c r="S576" s="137" t="s">
        <v>12</v>
      </c>
      <c r="T576" s="137" t="s">
        <v>12</v>
      </c>
      <c r="U576" s="137" t="s">
        <v>12</v>
      </c>
      <c r="V576" s="137" t="s">
        <v>12</v>
      </c>
      <c r="W576" s="137" t="s">
        <v>12</v>
      </c>
      <c r="X576" s="90"/>
    </row>
    <row r="577" spans="1:24" ht="24.95" customHeight="1" x14ac:dyDescent="0.2">
      <c r="A577" s="57">
        <v>8</v>
      </c>
      <c r="B577" s="52" t="s">
        <v>70</v>
      </c>
      <c r="C577" s="137" t="s">
        <v>12</v>
      </c>
      <c r="D577" s="137" t="s">
        <v>12</v>
      </c>
      <c r="E577" s="137" t="s">
        <v>12</v>
      </c>
      <c r="F577" s="137" t="s">
        <v>12</v>
      </c>
      <c r="G577" s="137" t="s">
        <v>12</v>
      </c>
      <c r="H577" s="137" t="s">
        <v>12</v>
      </c>
      <c r="I577" s="137" t="s">
        <v>12</v>
      </c>
      <c r="J577" s="90"/>
      <c r="O577" s="57">
        <v>8</v>
      </c>
      <c r="P577" s="52" t="s">
        <v>70</v>
      </c>
      <c r="Q577" s="137" t="s">
        <v>12</v>
      </c>
      <c r="R577" s="137" t="s">
        <v>12</v>
      </c>
      <c r="S577" s="137" t="s">
        <v>12</v>
      </c>
      <c r="T577" s="137" t="s">
        <v>12</v>
      </c>
      <c r="U577" s="137" t="s">
        <v>12</v>
      </c>
      <c r="V577" s="137" t="s">
        <v>12</v>
      </c>
      <c r="W577" s="137" t="s">
        <v>12</v>
      </c>
      <c r="X577" s="90"/>
    </row>
    <row r="578" spans="1:24" ht="24.95" customHeight="1" x14ac:dyDescent="0.2">
      <c r="A578" s="57">
        <v>9</v>
      </c>
      <c r="B578" s="52" t="s">
        <v>71</v>
      </c>
      <c r="C578" s="137" t="s">
        <v>12</v>
      </c>
      <c r="D578" s="137" t="s">
        <v>12</v>
      </c>
      <c r="E578" s="137" t="s">
        <v>12</v>
      </c>
      <c r="F578" s="137" t="s">
        <v>12</v>
      </c>
      <c r="G578" s="137" t="s">
        <v>12</v>
      </c>
      <c r="H578" s="137" t="s">
        <v>12</v>
      </c>
      <c r="I578" s="137" t="s">
        <v>12</v>
      </c>
      <c r="J578" s="90"/>
      <c r="O578" s="57">
        <v>9</v>
      </c>
      <c r="P578" s="52" t="s">
        <v>71</v>
      </c>
      <c r="Q578" s="137" t="s">
        <v>12</v>
      </c>
      <c r="R578" s="137" t="s">
        <v>12</v>
      </c>
      <c r="S578" s="137" t="s">
        <v>12</v>
      </c>
      <c r="T578" s="137" t="s">
        <v>12</v>
      </c>
      <c r="U578" s="137" t="s">
        <v>12</v>
      </c>
      <c r="V578" s="137" t="s">
        <v>12</v>
      </c>
      <c r="W578" s="137" t="s">
        <v>12</v>
      </c>
      <c r="X578" s="90"/>
    </row>
    <row r="579" spans="1:24" ht="24.95" customHeight="1" x14ac:dyDescent="0.2">
      <c r="A579" s="57">
        <v>10</v>
      </c>
      <c r="B579" s="52" t="s">
        <v>72</v>
      </c>
      <c r="C579" s="137" t="s">
        <v>12</v>
      </c>
      <c r="D579" s="137" t="s">
        <v>12</v>
      </c>
      <c r="E579" s="137" t="s">
        <v>12</v>
      </c>
      <c r="F579" s="137" t="s">
        <v>12</v>
      </c>
      <c r="G579" s="137" t="s">
        <v>12</v>
      </c>
      <c r="H579" s="137" t="s">
        <v>12</v>
      </c>
      <c r="I579" s="137" t="s">
        <v>12</v>
      </c>
      <c r="J579" s="90"/>
      <c r="O579" s="57">
        <v>10</v>
      </c>
      <c r="P579" s="52" t="s">
        <v>72</v>
      </c>
      <c r="Q579" s="137" t="s">
        <v>12</v>
      </c>
      <c r="R579" s="137" t="s">
        <v>12</v>
      </c>
      <c r="S579" s="137" t="s">
        <v>12</v>
      </c>
      <c r="T579" s="137" t="s">
        <v>12</v>
      </c>
      <c r="U579" s="137" t="s">
        <v>12</v>
      </c>
      <c r="V579" s="137" t="s">
        <v>12</v>
      </c>
      <c r="W579" s="137" t="s">
        <v>12</v>
      </c>
      <c r="X579" s="91"/>
    </row>
    <row r="580" spans="1:24" ht="24.95" customHeight="1" thickBot="1" x14ac:dyDescent="0.25">
      <c r="A580" s="57">
        <v>11</v>
      </c>
      <c r="B580" s="54" t="s">
        <v>73</v>
      </c>
      <c r="C580" s="121" t="s">
        <v>12</v>
      </c>
      <c r="D580" s="121" t="s">
        <v>12</v>
      </c>
      <c r="E580" s="121" t="s">
        <v>12</v>
      </c>
      <c r="F580" s="121" t="s">
        <v>12</v>
      </c>
      <c r="G580" s="123" t="s">
        <v>12</v>
      </c>
      <c r="H580" s="121" t="s">
        <v>12</v>
      </c>
      <c r="I580" s="121" t="s">
        <v>12</v>
      </c>
      <c r="J580" s="90"/>
      <c r="O580" s="57">
        <v>11</v>
      </c>
      <c r="P580" s="54" t="s">
        <v>73</v>
      </c>
      <c r="Q580" s="121" t="s">
        <v>12</v>
      </c>
      <c r="R580" s="121" t="s">
        <v>12</v>
      </c>
      <c r="S580" s="121" t="s">
        <v>12</v>
      </c>
      <c r="T580" s="121" t="s">
        <v>12</v>
      </c>
      <c r="U580" s="123" t="s">
        <v>12</v>
      </c>
      <c r="V580" s="121" t="s">
        <v>12</v>
      </c>
      <c r="W580" s="121" t="s">
        <v>12</v>
      </c>
      <c r="X580" s="91"/>
    </row>
    <row r="581" spans="1:24" ht="24.95" customHeight="1" thickTop="1" thickBot="1" x14ac:dyDescent="0.25">
      <c r="A581" s="454" t="s">
        <v>13</v>
      </c>
      <c r="B581" s="455"/>
      <c r="C581" s="164">
        <f>SUM(C570:C580)</f>
        <v>0</v>
      </c>
      <c r="D581" s="165">
        <f>SUM(D570:D580)</f>
        <v>1</v>
      </c>
      <c r="E581" s="164">
        <f>SUM(E570:E580)</f>
        <v>14</v>
      </c>
      <c r="F581" s="166">
        <f>SUM(F570:F580)</f>
        <v>15</v>
      </c>
      <c r="G581" s="167">
        <f>H581/1000*D581</f>
        <v>0.60399999999999998</v>
      </c>
      <c r="H581" s="165">
        <v>604</v>
      </c>
      <c r="I581" s="168">
        <f>SUM(I570:I580)</f>
        <v>119</v>
      </c>
      <c r="J581" s="12"/>
      <c r="O581" s="456" t="s">
        <v>13</v>
      </c>
      <c r="P581" s="457"/>
      <c r="Q581" s="164">
        <f>SUM(Q570:Q580)</f>
        <v>0</v>
      </c>
      <c r="R581" s="165">
        <f>SUM(R570:R580)</f>
        <v>1</v>
      </c>
      <c r="S581" s="164">
        <f>SUM(S570:S580)</f>
        <v>14</v>
      </c>
      <c r="T581" s="166">
        <f>SUM(T570:T580)</f>
        <v>15</v>
      </c>
      <c r="U581" s="167">
        <f>V581/1000*R581</f>
        <v>0.60399999999999998</v>
      </c>
      <c r="V581" s="165">
        <v>604</v>
      </c>
      <c r="W581" s="168">
        <f>SUM(W570:W580)</f>
        <v>119</v>
      </c>
      <c r="X581" s="171"/>
    </row>
    <row r="582" spans="1:24" ht="24.95" customHeight="1" thickTop="1" x14ac:dyDescent="0.2">
      <c r="C582" s="13">
        <f t="shared" ref="C582" si="80">Q581-C581</f>
        <v>0</v>
      </c>
      <c r="D582" s="13">
        <f t="shared" ref="D582:I582" si="81">D581-R581</f>
        <v>0</v>
      </c>
      <c r="E582" s="13">
        <f t="shared" si="81"/>
        <v>0</v>
      </c>
      <c r="F582" s="13">
        <f t="shared" si="81"/>
        <v>0</v>
      </c>
      <c r="G582" s="13">
        <f t="shared" si="81"/>
        <v>0</v>
      </c>
      <c r="H582" s="13">
        <f t="shared" si="81"/>
        <v>0</v>
      </c>
      <c r="I582" s="13">
        <f t="shared" si="81"/>
        <v>0</v>
      </c>
    </row>
    <row r="583" spans="1:24" ht="24.95" customHeight="1" x14ac:dyDescent="0.2">
      <c r="B583" s="208" t="s">
        <v>4</v>
      </c>
      <c r="C583" s="209" t="s">
        <v>63</v>
      </c>
      <c r="D583" s="211"/>
      <c r="F583" s="21"/>
      <c r="G583" s="45"/>
      <c r="H583">
        <f>G581/D581*1000</f>
        <v>604</v>
      </c>
      <c r="P583" s="38"/>
      <c r="Q583" s="21"/>
      <c r="R583" s="21"/>
      <c r="S583" s="21"/>
      <c r="T583" s="21"/>
      <c r="U583" s="45" t="s">
        <v>112</v>
      </c>
    </row>
    <row r="584" spans="1:24" ht="24.95" customHeight="1" x14ac:dyDescent="0.2">
      <c r="B584" s="208" t="s">
        <v>5</v>
      </c>
      <c r="C584" s="209" t="s">
        <v>64</v>
      </c>
      <c r="D584" s="211"/>
      <c r="G584" s="409"/>
      <c r="H584" s="410"/>
      <c r="I584" s="410"/>
      <c r="J584" s="410"/>
      <c r="U584" s="47" t="s">
        <v>38</v>
      </c>
      <c r="V584" s="46"/>
      <c r="W584" s="46"/>
      <c r="X584" s="46"/>
    </row>
    <row r="585" spans="1:24" ht="24.95" customHeight="1" x14ac:dyDescent="0.2">
      <c r="B585" s="208" t="s">
        <v>6</v>
      </c>
      <c r="C585" s="209" t="s">
        <v>65</v>
      </c>
      <c r="D585" s="211"/>
      <c r="G585" s="45"/>
      <c r="U585" s="45" t="s">
        <v>113</v>
      </c>
    </row>
    <row r="586" spans="1:24" ht="24.95" customHeight="1" x14ac:dyDescent="0.2">
      <c r="G586" s="409"/>
      <c r="H586" s="409"/>
      <c r="I586" s="409"/>
      <c r="J586" s="409"/>
      <c r="U586" s="409"/>
      <c r="V586" s="409"/>
      <c r="W586" s="409"/>
      <c r="X586" s="409"/>
    </row>
    <row r="587" spans="1:24" ht="24.95" customHeight="1" x14ac:dyDescent="0.2">
      <c r="G587" s="349"/>
      <c r="H587" s="349"/>
      <c r="I587" s="349"/>
      <c r="J587" s="349"/>
      <c r="U587" s="349"/>
      <c r="V587" s="349"/>
      <c r="W587" s="349"/>
      <c r="X587" s="349"/>
    </row>
    <row r="588" spans="1:24" ht="24.95" customHeight="1" x14ac:dyDescent="0.2">
      <c r="G588" s="349"/>
      <c r="H588" s="349"/>
      <c r="I588" s="349"/>
      <c r="J588" s="349"/>
      <c r="U588" s="349"/>
      <c r="V588" s="349"/>
      <c r="W588" s="349"/>
      <c r="X588" s="349"/>
    </row>
    <row r="589" spans="1:24" ht="24.95" customHeight="1" x14ac:dyDescent="0.2">
      <c r="G589" s="349"/>
      <c r="H589" s="349"/>
      <c r="I589" s="349"/>
      <c r="J589" s="349"/>
      <c r="U589" s="349"/>
      <c r="V589" s="349"/>
      <c r="W589" s="349"/>
      <c r="X589" s="349"/>
    </row>
    <row r="590" spans="1:24" ht="24.95" customHeight="1" x14ac:dyDescent="0.2">
      <c r="G590" s="349"/>
      <c r="H590" s="349"/>
      <c r="I590" s="349"/>
      <c r="J590" s="349"/>
      <c r="U590" s="349"/>
      <c r="V590" s="349"/>
      <c r="W590" s="349"/>
      <c r="X590" s="349"/>
    </row>
    <row r="591" spans="1:24" ht="24.95" customHeight="1" x14ac:dyDescent="0.2">
      <c r="G591" s="349"/>
      <c r="H591" s="349"/>
      <c r="I591" s="349"/>
      <c r="J591" s="349"/>
      <c r="U591" s="349"/>
      <c r="V591" s="349"/>
      <c r="W591" s="349"/>
      <c r="X591" s="349"/>
    </row>
    <row r="592" spans="1:24" ht="24.95" customHeight="1" x14ac:dyDescent="0.2">
      <c r="G592" s="349"/>
      <c r="H592" s="349"/>
      <c r="I592" s="349"/>
      <c r="J592" s="349"/>
      <c r="U592" s="349"/>
      <c r="V592" s="349"/>
      <c r="W592" s="349"/>
      <c r="X592" s="349"/>
    </row>
    <row r="593" spans="1:24" ht="24.95" customHeight="1" x14ac:dyDescent="0.2">
      <c r="G593" s="349"/>
      <c r="H593" s="349"/>
      <c r="I593" s="349"/>
      <c r="J593" s="349"/>
      <c r="U593" s="349"/>
      <c r="V593" s="349"/>
      <c r="W593" s="349"/>
      <c r="X593" s="349"/>
    </row>
    <row r="594" spans="1:24" ht="24.95" customHeight="1" x14ac:dyDescent="0.2">
      <c r="G594" s="349"/>
      <c r="H594" s="349"/>
      <c r="I594" s="349"/>
      <c r="J594" s="349"/>
      <c r="U594" s="349"/>
      <c r="V594" s="349"/>
      <c r="W594" s="349"/>
      <c r="X594" s="349"/>
    </row>
    <row r="595" spans="1:24" ht="24.95" customHeight="1" x14ac:dyDescent="0.2">
      <c r="G595" s="349"/>
      <c r="H595" s="349"/>
      <c r="I595" s="349"/>
      <c r="J595" s="349"/>
      <c r="U595" s="349"/>
      <c r="V595" s="349"/>
      <c r="W595" s="349"/>
      <c r="X595" s="349"/>
    </row>
    <row r="596" spans="1:24" ht="24.95" customHeight="1" x14ac:dyDescent="0.2">
      <c r="G596" s="349"/>
      <c r="H596" s="349"/>
      <c r="I596" s="349"/>
      <c r="J596" s="349"/>
      <c r="U596" s="349"/>
      <c r="V596" s="349"/>
      <c r="W596" s="349"/>
      <c r="X596" s="349"/>
    </row>
    <row r="597" spans="1:24" ht="24.95" customHeight="1" x14ac:dyDescent="0.2">
      <c r="G597" s="349"/>
      <c r="H597" s="349"/>
      <c r="I597" s="349"/>
      <c r="J597" s="349"/>
      <c r="U597" s="349"/>
      <c r="V597" s="349"/>
      <c r="W597" s="349"/>
      <c r="X597" s="349"/>
    </row>
    <row r="598" spans="1:24" ht="24.95" customHeight="1" x14ac:dyDescent="0.2">
      <c r="G598" s="349"/>
      <c r="H598" s="349"/>
      <c r="I598" s="349"/>
      <c r="J598" s="349"/>
      <c r="U598" s="349"/>
      <c r="V598" s="349"/>
      <c r="W598" s="349"/>
      <c r="X598" s="349"/>
    </row>
    <row r="599" spans="1:24" ht="24.95" customHeight="1" x14ac:dyDescent="0.3">
      <c r="A599" s="422" t="s">
        <v>51</v>
      </c>
      <c r="B599" s="422"/>
      <c r="C599" s="422"/>
      <c r="D599" s="422"/>
      <c r="E599" s="422"/>
      <c r="F599" s="422"/>
      <c r="G599" s="422"/>
      <c r="H599" s="422"/>
      <c r="I599" s="422"/>
      <c r="J599" s="422"/>
      <c r="O599" s="452" t="s">
        <v>51</v>
      </c>
      <c r="P599" s="452"/>
      <c r="Q599" s="452"/>
      <c r="R599" s="452"/>
      <c r="S599" s="452"/>
      <c r="T599" s="452"/>
      <c r="U599" s="452"/>
      <c r="V599" s="452"/>
      <c r="W599" s="452"/>
      <c r="X599" s="452"/>
    </row>
    <row r="600" spans="1:24" ht="24.95" customHeight="1" x14ac:dyDescent="0.3">
      <c r="A600" s="422" t="s">
        <v>53</v>
      </c>
      <c r="B600" s="422"/>
      <c r="C600" s="422"/>
      <c r="D600" s="422"/>
      <c r="E600" s="422"/>
      <c r="F600" s="422"/>
      <c r="G600" s="422"/>
      <c r="H600" s="422"/>
      <c r="I600" s="422"/>
      <c r="J600" s="422"/>
      <c r="O600" s="452" t="s">
        <v>53</v>
      </c>
      <c r="P600" s="452"/>
      <c r="Q600" s="452"/>
      <c r="R600" s="452"/>
      <c r="S600" s="452"/>
      <c r="T600" s="452"/>
      <c r="U600" s="452"/>
      <c r="V600" s="452"/>
      <c r="W600" s="452"/>
      <c r="X600" s="452"/>
    </row>
    <row r="601" spans="1:24" ht="24.95" customHeight="1" x14ac:dyDescent="0.3">
      <c r="A601" s="422" t="s">
        <v>114</v>
      </c>
      <c r="B601" s="422"/>
      <c r="C601" s="422"/>
      <c r="D601" s="422"/>
      <c r="E601" s="422"/>
      <c r="F601" s="422"/>
      <c r="G601" s="422"/>
      <c r="H601" s="422"/>
      <c r="I601" s="422"/>
      <c r="J601" s="422"/>
      <c r="O601" s="452" t="s">
        <v>52</v>
      </c>
      <c r="P601" s="452"/>
      <c r="Q601" s="452"/>
      <c r="R601" s="452"/>
      <c r="S601" s="452"/>
      <c r="T601" s="452"/>
      <c r="U601" s="452"/>
      <c r="V601" s="452"/>
      <c r="W601" s="452"/>
      <c r="X601" s="452"/>
    </row>
    <row r="602" spans="1:24" ht="24.95" customHeight="1" x14ac:dyDescent="0.3">
      <c r="A602" s="355"/>
      <c r="B602" s="355"/>
      <c r="C602" s="355"/>
      <c r="D602" s="355"/>
      <c r="E602" s="355"/>
      <c r="F602" s="355"/>
      <c r="G602" s="355"/>
      <c r="H602" s="355"/>
      <c r="I602" s="355"/>
      <c r="J602" s="355"/>
      <c r="O602" s="355"/>
      <c r="P602" s="355"/>
      <c r="Q602" s="355"/>
      <c r="R602" s="355"/>
      <c r="S602" s="355"/>
      <c r="T602" s="355"/>
      <c r="U602" s="355"/>
      <c r="V602" s="355"/>
      <c r="W602" s="355"/>
      <c r="X602" s="355"/>
    </row>
    <row r="603" spans="1:24" ht="24.95" customHeight="1" x14ac:dyDescent="0.2"/>
    <row r="604" spans="1:24" ht="24.95" customHeight="1" x14ac:dyDescent="0.2">
      <c r="A604" t="s">
        <v>0</v>
      </c>
      <c r="C604" s="45" t="s">
        <v>92</v>
      </c>
      <c r="O604" t="s">
        <v>0</v>
      </c>
      <c r="Q604" s="45" t="s">
        <v>92</v>
      </c>
    </row>
    <row r="605" spans="1:24" ht="24.95" customHeight="1" x14ac:dyDescent="0.2">
      <c r="A605" s="45"/>
      <c r="E605" s="45"/>
      <c r="O605" s="45"/>
      <c r="S605" s="45"/>
    </row>
    <row r="606" spans="1:24" ht="24.95" customHeight="1" thickBot="1" x14ac:dyDescent="0.25"/>
    <row r="607" spans="1:24" ht="30" customHeight="1" thickTop="1" thickBot="1" x14ac:dyDescent="0.25">
      <c r="A607" s="1" t="s">
        <v>2</v>
      </c>
      <c r="B607" s="2" t="s">
        <v>3</v>
      </c>
      <c r="C607" s="2" t="s">
        <v>4</v>
      </c>
      <c r="D607" s="2" t="s">
        <v>5</v>
      </c>
      <c r="E607" s="2" t="s">
        <v>6</v>
      </c>
      <c r="F607" s="3" t="s">
        <v>44</v>
      </c>
      <c r="G607" s="3" t="s">
        <v>8</v>
      </c>
      <c r="H607" s="3" t="s">
        <v>9</v>
      </c>
      <c r="I607" s="3" t="s">
        <v>10</v>
      </c>
      <c r="J607" s="4" t="s">
        <v>11</v>
      </c>
      <c r="L607" s="370" t="s">
        <v>48</v>
      </c>
      <c r="O607" s="1" t="s">
        <v>2</v>
      </c>
      <c r="P607" s="2" t="s">
        <v>3</v>
      </c>
      <c r="Q607" s="2" t="s">
        <v>4</v>
      </c>
      <c r="R607" s="2" t="s">
        <v>5</v>
      </c>
      <c r="S607" s="2" t="s">
        <v>6</v>
      </c>
      <c r="T607" s="3" t="s">
        <v>44</v>
      </c>
      <c r="U607" s="3" t="s">
        <v>8</v>
      </c>
      <c r="V607" s="3" t="s">
        <v>9</v>
      </c>
      <c r="W607" s="3" t="s">
        <v>10</v>
      </c>
      <c r="X607" s="4" t="s">
        <v>11</v>
      </c>
    </row>
    <row r="608" spans="1:24" ht="24.95" customHeight="1" thickTop="1" thickBot="1" x14ac:dyDescent="0.3">
      <c r="A608" s="5">
        <v>1</v>
      </c>
      <c r="B608" s="6">
        <v>2</v>
      </c>
      <c r="C608" s="6">
        <v>3</v>
      </c>
      <c r="D608" s="6">
        <v>4</v>
      </c>
      <c r="E608" s="6">
        <v>5</v>
      </c>
      <c r="F608" s="6">
        <v>6</v>
      </c>
      <c r="G608" s="6">
        <v>7</v>
      </c>
      <c r="H608" s="6">
        <v>8</v>
      </c>
      <c r="I608" s="6">
        <v>9</v>
      </c>
      <c r="J608" s="7">
        <v>10</v>
      </c>
      <c r="K608" s="45" t="s">
        <v>157</v>
      </c>
      <c r="L608" s="45" t="s">
        <v>158</v>
      </c>
      <c r="M608" s="45" t="s">
        <v>159</v>
      </c>
      <c r="O608" s="5">
        <v>1</v>
      </c>
      <c r="P608" s="6">
        <v>2</v>
      </c>
      <c r="Q608" s="6">
        <v>3</v>
      </c>
      <c r="R608" s="6">
        <v>4</v>
      </c>
      <c r="S608" s="6">
        <v>5</v>
      </c>
      <c r="T608" s="6">
        <v>6</v>
      </c>
      <c r="U608" s="6">
        <v>7</v>
      </c>
      <c r="V608" s="6">
        <v>8</v>
      </c>
      <c r="W608" s="6">
        <v>9</v>
      </c>
      <c r="X608" s="7">
        <v>10</v>
      </c>
    </row>
    <row r="609" spans="1:24" ht="24.95" customHeight="1" thickTop="1" x14ac:dyDescent="0.2">
      <c r="A609" s="55">
        <v>1</v>
      </c>
      <c r="B609" s="50" t="s">
        <v>82</v>
      </c>
      <c r="C609" s="137" t="s">
        <v>12</v>
      </c>
      <c r="D609" s="137" t="s">
        <v>12</v>
      </c>
      <c r="E609" s="137" t="s">
        <v>12</v>
      </c>
      <c r="F609" s="137" t="s">
        <v>12</v>
      </c>
      <c r="G609" s="137" t="s">
        <v>12</v>
      </c>
      <c r="H609" s="137" t="s">
        <v>12</v>
      </c>
      <c r="I609" s="137" t="s">
        <v>12</v>
      </c>
      <c r="J609" s="91"/>
      <c r="O609" s="55">
        <v>1</v>
      </c>
      <c r="P609" s="50" t="s">
        <v>82</v>
      </c>
      <c r="Q609" s="137" t="s">
        <v>12</v>
      </c>
      <c r="R609" s="137" t="s">
        <v>12</v>
      </c>
      <c r="S609" s="137" t="s">
        <v>12</v>
      </c>
      <c r="T609" s="137" t="s">
        <v>12</v>
      </c>
      <c r="U609" s="137" t="s">
        <v>12</v>
      </c>
      <c r="V609" s="137" t="s">
        <v>12</v>
      </c>
      <c r="W609" s="137" t="s">
        <v>12</v>
      </c>
      <c r="X609" s="91"/>
    </row>
    <row r="610" spans="1:24" ht="24.95" customHeight="1" x14ac:dyDescent="0.2">
      <c r="A610" s="56">
        <v>2</v>
      </c>
      <c r="B610" s="51" t="s">
        <v>61</v>
      </c>
      <c r="C610" s="137" t="s">
        <v>12</v>
      </c>
      <c r="D610" s="137" t="s">
        <v>12</v>
      </c>
      <c r="E610" s="137" t="s">
        <v>12</v>
      </c>
      <c r="F610" s="137" t="s">
        <v>12</v>
      </c>
      <c r="G610" s="137" t="s">
        <v>12</v>
      </c>
      <c r="H610" s="137" t="s">
        <v>12</v>
      </c>
      <c r="I610" s="137" t="s">
        <v>12</v>
      </c>
      <c r="J610" s="90"/>
      <c r="O610" s="56">
        <v>2</v>
      </c>
      <c r="P610" s="51" t="s">
        <v>61</v>
      </c>
      <c r="Q610" s="137" t="s">
        <v>12</v>
      </c>
      <c r="R610" s="137" t="s">
        <v>12</v>
      </c>
      <c r="S610" s="137" t="s">
        <v>12</v>
      </c>
      <c r="T610" s="137" t="s">
        <v>12</v>
      </c>
      <c r="U610" s="137" t="s">
        <v>12</v>
      </c>
      <c r="V610" s="137" t="s">
        <v>12</v>
      </c>
      <c r="W610" s="137" t="s">
        <v>12</v>
      </c>
      <c r="X610" s="90"/>
    </row>
    <row r="611" spans="1:24" ht="24.95" customHeight="1" x14ac:dyDescent="0.2">
      <c r="A611" s="57">
        <v>3</v>
      </c>
      <c r="B611" s="52" t="s">
        <v>75</v>
      </c>
      <c r="C611" s="137" t="s">
        <v>12</v>
      </c>
      <c r="D611" s="137" t="s">
        <v>12</v>
      </c>
      <c r="E611" s="137" t="s">
        <v>12</v>
      </c>
      <c r="F611" s="137" t="s">
        <v>12</v>
      </c>
      <c r="G611" s="137" t="s">
        <v>12</v>
      </c>
      <c r="H611" s="137" t="s">
        <v>12</v>
      </c>
      <c r="I611" s="137" t="s">
        <v>12</v>
      </c>
      <c r="J611" s="105"/>
      <c r="O611" s="57">
        <v>3</v>
      </c>
      <c r="P611" s="52" t="s">
        <v>75</v>
      </c>
      <c r="Q611" s="137" t="s">
        <v>12</v>
      </c>
      <c r="R611" s="137" t="s">
        <v>12</v>
      </c>
      <c r="S611" s="137" t="s">
        <v>12</v>
      </c>
      <c r="T611" s="137" t="s">
        <v>12</v>
      </c>
      <c r="U611" s="137" t="s">
        <v>12</v>
      </c>
      <c r="V611" s="137" t="s">
        <v>12</v>
      </c>
      <c r="W611" s="137" t="s">
        <v>12</v>
      </c>
      <c r="X611" s="105"/>
    </row>
    <row r="612" spans="1:24" ht="24.95" customHeight="1" x14ac:dyDescent="0.2">
      <c r="A612" s="57">
        <v>4</v>
      </c>
      <c r="B612" s="52" t="s">
        <v>68</v>
      </c>
      <c r="C612" s="265">
        <v>1.5</v>
      </c>
      <c r="D612" s="148">
        <v>0.5</v>
      </c>
      <c r="E612" s="148">
        <f>1.5-1</f>
        <v>0.5</v>
      </c>
      <c r="F612" s="148">
        <f>E612+D612+C612</f>
        <v>2.5</v>
      </c>
      <c r="G612" s="154">
        <f>H612/1000*D612</f>
        <v>0.33</v>
      </c>
      <c r="H612" s="137">
        <v>660</v>
      </c>
      <c r="I612" s="137">
        <f>14-1</f>
        <v>13</v>
      </c>
      <c r="J612" s="91"/>
      <c r="M612" s="224">
        <f>E612-S612</f>
        <v>0</v>
      </c>
      <c r="N612" s="224"/>
      <c r="O612" s="57">
        <v>4</v>
      </c>
      <c r="P612" s="52" t="s">
        <v>68</v>
      </c>
      <c r="Q612" s="265">
        <v>1.5</v>
      </c>
      <c r="R612" s="148">
        <v>0.5</v>
      </c>
      <c r="S612" s="148">
        <f>1.5-1</f>
        <v>0.5</v>
      </c>
      <c r="T612" s="148">
        <f>S612+R612+Q612</f>
        <v>2.5</v>
      </c>
      <c r="U612" s="154">
        <f>V612/1000*R612</f>
        <v>0.33</v>
      </c>
      <c r="V612" s="137">
        <v>660</v>
      </c>
      <c r="W612" s="137">
        <f>14-1</f>
        <v>13</v>
      </c>
      <c r="X612" s="91"/>
    </row>
    <row r="613" spans="1:24" ht="24.95" customHeight="1" x14ac:dyDescent="0.2">
      <c r="A613" s="57">
        <v>5</v>
      </c>
      <c r="B613" s="53" t="s">
        <v>66</v>
      </c>
      <c r="C613" s="137" t="s">
        <v>12</v>
      </c>
      <c r="D613" s="137" t="s">
        <v>12</v>
      </c>
      <c r="E613" s="137" t="s">
        <v>12</v>
      </c>
      <c r="F613" s="137" t="s">
        <v>12</v>
      </c>
      <c r="G613" s="137" t="s">
        <v>12</v>
      </c>
      <c r="H613" s="137" t="s">
        <v>12</v>
      </c>
      <c r="I613" s="137" t="s">
        <v>12</v>
      </c>
      <c r="J613" s="91"/>
      <c r="O613" s="57">
        <v>5</v>
      </c>
      <c r="P613" s="53" t="s">
        <v>66</v>
      </c>
      <c r="Q613" s="137" t="s">
        <v>12</v>
      </c>
      <c r="R613" s="137" t="s">
        <v>12</v>
      </c>
      <c r="S613" s="137" t="s">
        <v>12</v>
      </c>
      <c r="T613" s="137" t="s">
        <v>12</v>
      </c>
      <c r="U613" s="137" t="s">
        <v>12</v>
      </c>
      <c r="V613" s="137" t="s">
        <v>12</v>
      </c>
      <c r="W613" s="137" t="s">
        <v>12</v>
      </c>
      <c r="X613" s="91"/>
    </row>
    <row r="614" spans="1:24" ht="24.95" customHeight="1" x14ac:dyDescent="0.2">
      <c r="A614" s="57">
        <v>6</v>
      </c>
      <c r="B614" s="52" t="s">
        <v>67</v>
      </c>
      <c r="C614" s="137" t="s">
        <v>12</v>
      </c>
      <c r="D614" s="137" t="s">
        <v>12</v>
      </c>
      <c r="E614" s="137" t="s">
        <v>12</v>
      </c>
      <c r="F614" s="137" t="s">
        <v>12</v>
      </c>
      <c r="G614" s="137" t="s">
        <v>12</v>
      </c>
      <c r="H614" s="137" t="s">
        <v>12</v>
      </c>
      <c r="I614" s="137" t="s">
        <v>12</v>
      </c>
      <c r="J614" s="91"/>
      <c r="O614" s="57">
        <v>6</v>
      </c>
      <c r="P614" s="52" t="s">
        <v>67</v>
      </c>
      <c r="Q614" s="137" t="s">
        <v>12</v>
      </c>
      <c r="R614" s="137" t="s">
        <v>12</v>
      </c>
      <c r="S614" s="137" t="s">
        <v>12</v>
      </c>
      <c r="T614" s="137" t="s">
        <v>12</v>
      </c>
      <c r="U614" s="137" t="s">
        <v>12</v>
      </c>
      <c r="V614" s="137" t="s">
        <v>12</v>
      </c>
      <c r="W614" s="137" t="s">
        <v>12</v>
      </c>
      <c r="X614" s="91"/>
    </row>
    <row r="615" spans="1:24" ht="24.95" customHeight="1" x14ac:dyDescent="0.2">
      <c r="A615" s="57">
        <v>7</v>
      </c>
      <c r="B615" s="52" t="s">
        <v>69</v>
      </c>
      <c r="C615" s="137" t="s">
        <v>12</v>
      </c>
      <c r="D615" s="137" t="s">
        <v>12</v>
      </c>
      <c r="E615" s="137" t="s">
        <v>12</v>
      </c>
      <c r="F615" s="137" t="s">
        <v>12</v>
      </c>
      <c r="G615" s="137" t="s">
        <v>12</v>
      </c>
      <c r="H615" s="137" t="s">
        <v>12</v>
      </c>
      <c r="I615" s="137" t="s">
        <v>12</v>
      </c>
      <c r="J615" s="90"/>
      <c r="O615" s="57">
        <v>7</v>
      </c>
      <c r="P615" s="52" t="s">
        <v>69</v>
      </c>
      <c r="Q615" s="137" t="s">
        <v>12</v>
      </c>
      <c r="R615" s="137" t="s">
        <v>12</v>
      </c>
      <c r="S615" s="137" t="s">
        <v>12</v>
      </c>
      <c r="T615" s="137" t="s">
        <v>12</v>
      </c>
      <c r="U615" s="137" t="s">
        <v>12</v>
      </c>
      <c r="V615" s="137" t="s">
        <v>12</v>
      </c>
      <c r="W615" s="137" t="s">
        <v>12</v>
      </c>
      <c r="X615" s="90"/>
    </row>
    <row r="616" spans="1:24" ht="24.95" customHeight="1" x14ac:dyDescent="0.2">
      <c r="A616" s="57">
        <v>8</v>
      </c>
      <c r="B616" s="376" t="s">
        <v>70</v>
      </c>
      <c r="C616" s="137">
        <v>0</v>
      </c>
      <c r="D616" s="137" t="s">
        <v>12</v>
      </c>
      <c r="E616" s="137">
        <v>1</v>
      </c>
      <c r="F616" s="137">
        <f>E616</f>
        <v>1</v>
      </c>
      <c r="G616" s="137" t="s">
        <v>12</v>
      </c>
      <c r="H616" s="137" t="s">
        <v>12</v>
      </c>
      <c r="I616" s="137" t="s">
        <v>12</v>
      </c>
      <c r="J616" s="90"/>
      <c r="K616" s="13">
        <f>C616-Q616</f>
        <v>-1</v>
      </c>
      <c r="L616" s="13"/>
      <c r="M616" s="13">
        <v>1</v>
      </c>
      <c r="O616" s="57">
        <v>8</v>
      </c>
      <c r="P616" s="52" t="s">
        <v>70</v>
      </c>
      <c r="Q616" s="137">
        <v>1</v>
      </c>
      <c r="R616" s="137" t="s">
        <v>12</v>
      </c>
      <c r="S616" s="137" t="s">
        <v>12</v>
      </c>
      <c r="T616" s="137">
        <f>Q616</f>
        <v>1</v>
      </c>
      <c r="U616" s="137" t="s">
        <v>12</v>
      </c>
      <c r="V616" s="137" t="s">
        <v>12</v>
      </c>
      <c r="W616" s="137" t="s">
        <v>12</v>
      </c>
      <c r="X616" s="90"/>
    </row>
    <row r="617" spans="1:24" ht="24.95" customHeight="1" x14ac:dyDescent="0.2">
      <c r="A617" s="57">
        <v>9</v>
      </c>
      <c r="B617" s="52" t="s">
        <v>71</v>
      </c>
      <c r="C617" s="137" t="s">
        <v>12</v>
      </c>
      <c r="D617" s="137" t="s">
        <v>12</v>
      </c>
      <c r="E617" s="137" t="s">
        <v>12</v>
      </c>
      <c r="F617" s="137" t="str">
        <f>C617</f>
        <v>-</v>
      </c>
      <c r="G617" s="137" t="s">
        <v>12</v>
      </c>
      <c r="H617" s="137" t="s">
        <v>12</v>
      </c>
      <c r="I617" s="137" t="s">
        <v>12</v>
      </c>
      <c r="J617" s="90"/>
      <c r="O617" s="57">
        <v>9</v>
      </c>
      <c r="P617" s="52" t="s">
        <v>71</v>
      </c>
      <c r="Q617" s="137" t="s">
        <v>12</v>
      </c>
      <c r="R617" s="137" t="s">
        <v>12</v>
      </c>
      <c r="S617" s="137" t="s">
        <v>12</v>
      </c>
      <c r="T617" s="137" t="str">
        <f>Q617</f>
        <v>-</v>
      </c>
      <c r="U617" s="137" t="s">
        <v>12</v>
      </c>
      <c r="V617" s="137" t="s">
        <v>12</v>
      </c>
      <c r="W617" s="137" t="s">
        <v>12</v>
      </c>
      <c r="X617" s="90"/>
    </row>
    <row r="618" spans="1:24" ht="24.95" customHeight="1" x14ac:dyDescent="0.2">
      <c r="A618" s="57">
        <v>10</v>
      </c>
      <c r="B618" s="52" t="s">
        <v>72</v>
      </c>
      <c r="C618" s="137" t="s">
        <v>12</v>
      </c>
      <c r="D618" s="137" t="s">
        <v>12</v>
      </c>
      <c r="E618" s="137" t="s">
        <v>12</v>
      </c>
      <c r="F618" s="137" t="s">
        <v>12</v>
      </c>
      <c r="G618" s="137" t="s">
        <v>12</v>
      </c>
      <c r="H618" s="137" t="s">
        <v>12</v>
      </c>
      <c r="I618" s="137" t="s">
        <v>12</v>
      </c>
      <c r="J618" s="91"/>
      <c r="O618" s="57">
        <v>10</v>
      </c>
      <c r="P618" s="52" t="s">
        <v>72</v>
      </c>
      <c r="Q618" s="137" t="s">
        <v>12</v>
      </c>
      <c r="R618" s="137" t="s">
        <v>12</v>
      </c>
      <c r="S618" s="137" t="s">
        <v>12</v>
      </c>
      <c r="T618" s="137" t="s">
        <v>12</v>
      </c>
      <c r="U618" s="137" t="s">
        <v>12</v>
      </c>
      <c r="V618" s="137" t="s">
        <v>12</v>
      </c>
      <c r="W618" s="137" t="s">
        <v>12</v>
      </c>
      <c r="X618" s="91"/>
    </row>
    <row r="619" spans="1:24" ht="24.95" customHeight="1" thickBot="1" x14ac:dyDescent="0.25">
      <c r="A619" s="57">
        <v>11</v>
      </c>
      <c r="B619" s="54" t="s">
        <v>73</v>
      </c>
      <c r="C619" s="121" t="s">
        <v>12</v>
      </c>
      <c r="D619" s="121" t="s">
        <v>12</v>
      </c>
      <c r="E619" s="121" t="s">
        <v>12</v>
      </c>
      <c r="F619" s="121" t="s">
        <v>12</v>
      </c>
      <c r="G619" s="123" t="s">
        <v>12</v>
      </c>
      <c r="H619" s="121" t="s">
        <v>12</v>
      </c>
      <c r="I619" s="121" t="s">
        <v>12</v>
      </c>
      <c r="J619" s="91"/>
      <c r="O619" s="57">
        <v>11</v>
      </c>
      <c r="P619" s="54" t="s">
        <v>73</v>
      </c>
      <c r="Q619" s="121" t="s">
        <v>12</v>
      </c>
      <c r="R619" s="121" t="s">
        <v>12</v>
      </c>
      <c r="S619" s="121" t="s">
        <v>12</v>
      </c>
      <c r="T619" s="121" t="s">
        <v>12</v>
      </c>
      <c r="U619" s="123" t="s">
        <v>12</v>
      </c>
      <c r="V619" s="121" t="s">
        <v>12</v>
      </c>
      <c r="W619" s="121" t="s">
        <v>12</v>
      </c>
      <c r="X619" s="91"/>
    </row>
    <row r="620" spans="1:24" ht="24.95" customHeight="1" thickTop="1" thickBot="1" x14ac:dyDescent="0.25">
      <c r="A620" s="454" t="s">
        <v>13</v>
      </c>
      <c r="B620" s="455"/>
      <c r="C620" s="180">
        <f>SUM(C609:C619)</f>
        <v>1.5</v>
      </c>
      <c r="D620" s="167">
        <f>SUM(D609:D619)</f>
        <v>0.5</v>
      </c>
      <c r="E620" s="180">
        <f>SUM(E609:E619)</f>
        <v>1.5</v>
      </c>
      <c r="F620" s="214">
        <f>SUM(F609:F619)</f>
        <v>3.5</v>
      </c>
      <c r="G620" s="347">
        <f>H620/1000*D620</f>
        <v>0.33</v>
      </c>
      <c r="H620" s="165">
        <v>660</v>
      </c>
      <c r="I620" s="168">
        <f>SUM(I609:I619)</f>
        <v>13</v>
      </c>
      <c r="J620" s="67"/>
      <c r="O620" s="454" t="s">
        <v>13</v>
      </c>
      <c r="P620" s="455"/>
      <c r="Q620" s="180">
        <f>SUM(Q609:Q619)</f>
        <v>2.5</v>
      </c>
      <c r="R620" s="167">
        <f>SUM(R609:R619)</f>
        <v>0.5</v>
      </c>
      <c r="S620" s="180">
        <f>SUM(S609:S619)</f>
        <v>0.5</v>
      </c>
      <c r="T620" s="214">
        <f>SUM(T609:T619)</f>
        <v>3.5</v>
      </c>
      <c r="U620" s="167">
        <f>V620/1000*R620</f>
        <v>0.32900000000000001</v>
      </c>
      <c r="V620" s="165">
        <v>658</v>
      </c>
      <c r="W620" s="168">
        <f>SUM(W609:W619)</f>
        <v>13</v>
      </c>
      <c r="X620" s="67"/>
    </row>
    <row r="621" spans="1:24" ht="24.95" customHeight="1" thickTop="1" x14ac:dyDescent="0.2">
      <c r="C621" s="226">
        <f>C620-Q620</f>
        <v>-1</v>
      </c>
      <c r="D621" s="226">
        <f>D620-R620</f>
        <v>0</v>
      </c>
      <c r="E621" s="226">
        <f>E620-S620</f>
        <v>1</v>
      </c>
      <c r="F621" s="226">
        <f t="shared" ref="F621" si="82">F620-T620</f>
        <v>0</v>
      </c>
      <c r="G621" s="226">
        <f>G620-U620</f>
        <v>1.0000000000000009E-3</v>
      </c>
      <c r="H621" s="226">
        <f>H620-V620</f>
        <v>2</v>
      </c>
      <c r="I621" s="226">
        <f t="shared" ref="I621" si="83">I620-W620</f>
        <v>0</v>
      </c>
    </row>
    <row r="622" spans="1:24" ht="24.95" customHeight="1" x14ac:dyDescent="0.2">
      <c r="B622" s="208" t="s">
        <v>4</v>
      </c>
      <c r="C622" s="209" t="s">
        <v>63</v>
      </c>
      <c r="D622" s="211"/>
      <c r="F622" s="21"/>
      <c r="G622" s="45"/>
      <c r="H622">
        <f>G620/D620*1000</f>
        <v>660</v>
      </c>
      <c r="P622" s="38"/>
      <c r="Q622" s="21"/>
      <c r="R622" s="21"/>
      <c r="S622" s="21"/>
      <c r="T622" s="21"/>
      <c r="U622" s="45" t="s">
        <v>112</v>
      </c>
    </row>
    <row r="623" spans="1:24" ht="24.95" customHeight="1" x14ac:dyDescent="0.2">
      <c r="B623" s="208" t="s">
        <v>5</v>
      </c>
      <c r="C623" s="209" t="s">
        <v>64</v>
      </c>
      <c r="D623" s="211"/>
      <c r="G623" s="409"/>
      <c r="H623" s="410"/>
      <c r="I623" s="410"/>
      <c r="J623" s="410"/>
      <c r="U623" s="47" t="s">
        <v>38</v>
      </c>
      <c r="V623" s="46"/>
      <c r="W623" s="46"/>
      <c r="X623" s="46"/>
    </row>
    <row r="624" spans="1:24" ht="24.95" customHeight="1" x14ac:dyDescent="0.2">
      <c r="B624" s="208" t="s">
        <v>6</v>
      </c>
      <c r="C624" s="209" t="s">
        <v>65</v>
      </c>
      <c r="D624" s="211"/>
      <c r="G624" s="45"/>
      <c r="U624" s="45" t="s">
        <v>113</v>
      </c>
    </row>
    <row r="625" spans="1:24" ht="24.95" customHeight="1" x14ac:dyDescent="0.2">
      <c r="G625" s="409"/>
      <c r="H625" s="409"/>
      <c r="I625" s="409"/>
      <c r="J625" s="409"/>
      <c r="U625" s="409"/>
      <c r="V625" s="409"/>
      <c r="W625" s="409"/>
      <c r="X625" s="409"/>
    </row>
    <row r="626" spans="1:24" ht="24.95" customHeight="1" x14ac:dyDescent="0.2">
      <c r="G626" s="349"/>
      <c r="H626" s="349"/>
      <c r="I626" s="349"/>
      <c r="J626" s="349"/>
      <c r="U626" s="349"/>
      <c r="V626" s="349"/>
      <c r="W626" s="349"/>
      <c r="X626" s="349"/>
    </row>
    <row r="627" spans="1:24" ht="24.95" customHeight="1" x14ac:dyDescent="0.2">
      <c r="G627" s="349"/>
      <c r="H627" s="349"/>
      <c r="I627" s="349"/>
      <c r="J627" s="349"/>
      <c r="U627" s="349"/>
      <c r="V627" s="349"/>
      <c r="W627" s="349"/>
      <c r="X627" s="349"/>
    </row>
    <row r="628" spans="1:24" ht="24.95" customHeight="1" x14ac:dyDescent="0.2">
      <c r="G628" s="349"/>
      <c r="H628" s="349"/>
      <c r="I628" s="349"/>
      <c r="J628" s="349"/>
      <c r="U628" s="349"/>
      <c r="V628" s="349"/>
      <c r="W628" s="349"/>
      <c r="X628" s="349"/>
    </row>
    <row r="629" spans="1:24" ht="24.95" customHeight="1" x14ac:dyDescent="0.2">
      <c r="G629" s="349"/>
      <c r="H629" s="349"/>
      <c r="I629" s="349"/>
      <c r="J629" s="349"/>
      <c r="U629" s="349"/>
      <c r="V629" s="349"/>
      <c r="W629" s="349"/>
      <c r="X629" s="349"/>
    </row>
    <row r="630" spans="1:24" ht="24.95" customHeight="1" x14ac:dyDescent="0.2">
      <c r="G630" s="349"/>
      <c r="H630" s="349"/>
      <c r="I630" s="349"/>
      <c r="J630" s="349"/>
      <c r="U630" s="349"/>
      <c r="V630" s="349"/>
      <c r="W630" s="349"/>
      <c r="X630" s="349"/>
    </row>
    <row r="631" spans="1:24" ht="24.95" customHeight="1" x14ac:dyDescent="0.2">
      <c r="G631" s="349"/>
      <c r="H631" s="349"/>
      <c r="I631" s="349"/>
      <c r="J631" s="349"/>
      <c r="U631" s="349"/>
      <c r="V631" s="349"/>
      <c r="W631" s="349"/>
      <c r="X631" s="349"/>
    </row>
    <row r="632" spans="1:24" ht="24.95" customHeight="1" x14ac:dyDescent="0.2">
      <c r="G632" s="349"/>
      <c r="H632" s="349"/>
      <c r="I632" s="349"/>
      <c r="J632" s="349"/>
      <c r="U632" s="349"/>
      <c r="V632" s="349"/>
      <c r="W632" s="349"/>
      <c r="X632" s="349"/>
    </row>
    <row r="633" spans="1:24" ht="24.95" customHeight="1" x14ac:dyDescent="0.2">
      <c r="G633" s="349"/>
      <c r="H633" s="349"/>
      <c r="I633" s="349"/>
      <c r="J633" s="349"/>
      <c r="U633" s="349"/>
      <c r="V633" s="349"/>
      <c r="W633" s="349"/>
      <c r="X633" s="349"/>
    </row>
    <row r="634" spans="1:24" ht="24.95" customHeight="1" x14ac:dyDescent="0.2">
      <c r="G634" s="349"/>
      <c r="H634" s="349"/>
      <c r="I634" s="349"/>
      <c r="J634" s="349"/>
      <c r="U634" s="349"/>
      <c r="V634" s="349"/>
      <c r="W634" s="349"/>
      <c r="X634" s="349"/>
    </row>
    <row r="635" spans="1:24" ht="24.95" customHeight="1" x14ac:dyDescent="0.2"/>
    <row r="636" spans="1:24" ht="24.95" customHeight="1" x14ac:dyDescent="0.3">
      <c r="A636" s="422" t="s">
        <v>51</v>
      </c>
      <c r="B636" s="422"/>
      <c r="C636" s="422"/>
      <c r="D636" s="422"/>
      <c r="E636" s="422"/>
      <c r="F636" s="422"/>
      <c r="G636" s="422"/>
      <c r="H636" s="422"/>
      <c r="I636" s="422"/>
      <c r="J636" s="422"/>
      <c r="O636" s="452" t="s">
        <v>51</v>
      </c>
      <c r="P636" s="452"/>
      <c r="Q636" s="452"/>
      <c r="R636" s="452"/>
      <c r="S636" s="452"/>
      <c r="T636" s="452"/>
      <c r="U636" s="452"/>
      <c r="V636" s="452"/>
      <c r="W636" s="452"/>
      <c r="X636" s="452"/>
    </row>
    <row r="637" spans="1:24" ht="24.95" customHeight="1" x14ac:dyDescent="0.3">
      <c r="A637" s="422" t="s">
        <v>53</v>
      </c>
      <c r="B637" s="422"/>
      <c r="C637" s="422"/>
      <c r="D637" s="422"/>
      <c r="E637" s="422"/>
      <c r="F637" s="422"/>
      <c r="G637" s="422"/>
      <c r="H637" s="422"/>
      <c r="I637" s="422"/>
      <c r="J637" s="422"/>
      <c r="O637" s="452" t="s">
        <v>53</v>
      </c>
      <c r="P637" s="452"/>
      <c r="Q637" s="452"/>
      <c r="R637" s="452"/>
      <c r="S637" s="452"/>
      <c r="T637" s="452"/>
      <c r="U637" s="452"/>
      <c r="V637" s="452"/>
      <c r="W637" s="452"/>
      <c r="X637" s="452"/>
    </row>
    <row r="638" spans="1:24" ht="24.95" customHeight="1" x14ac:dyDescent="0.3">
      <c r="A638" s="422" t="s">
        <v>114</v>
      </c>
      <c r="B638" s="422"/>
      <c r="C638" s="422"/>
      <c r="D638" s="422"/>
      <c r="E638" s="422"/>
      <c r="F638" s="422"/>
      <c r="G638" s="422"/>
      <c r="H638" s="422"/>
      <c r="I638" s="422"/>
      <c r="J638" s="422"/>
      <c r="O638" s="452" t="s">
        <v>52</v>
      </c>
      <c r="P638" s="452"/>
      <c r="Q638" s="452"/>
      <c r="R638" s="452"/>
      <c r="S638" s="452"/>
      <c r="T638" s="452"/>
      <c r="U638" s="452"/>
      <c r="V638" s="452"/>
      <c r="W638" s="452"/>
      <c r="X638" s="452"/>
    </row>
    <row r="639" spans="1:24" ht="24.95" customHeight="1" x14ac:dyDescent="0.3">
      <c r="A639" s="355"/>
      <c r="B639" s="355"/>
      <c r="C639" s="355"/>
      <c r="D639" s="355"/>
      <c r="E639" s="355"/>
      <c r="F639" s="355"/>
      <c r="G639" s="355"/>
      <c r="H639" s="355"/>
      <c r="I639" s="355"/>
      <c r="J639" s="355"/>
      <c r="O639" s="355"/>
      <c r="P639" s="355"/>
      <c r="Q639" s="355"/>
      <c r="R639" s="355"/>
      <c r="S639" s="355"/>
      <c r="T639" s="355"/>
      <c r="U639" s="355"/>
      <c r="V639" s="355"/>
      <c r="W639" s="355"/>
      <c r="X639" s="355"/>
    </row>
    <row r="640" spans="1:24" ht="24.95" customHeight="1" x14ac:dyDescent="0.2">
      <c r="A640" t="s">
        <v>0</v>
      </c>
      <c r="C640" s="45" t="s">
        <v>84</v>
      </c>
      <c r="O640" t="s">
        <v>0</v>
      </c>
      <c r="Q640" s="45" t="s">
        <v>85</v>
      </c>
    </row>
    <row r="641" spans="1:24" ht="24.95" customHeight="1" thickBot="1" x14ac:dyDescent="0.25"/>
    <row r="642" spans="1:24" ht="30" customHeight="1" thickTop="1" thickBot="1" x14ac:dyDescent="0.25">
      <c r="A642" s="1" t="s">
        <v>2</v>
      </c>
      <c r="B642" s="2" t="s">
        <v>3</v>
      </c>
      <c r="C642" s="2" t="s">
        <v>4</v>
      </c>
      <c r="D642" s="2" t="s">
        <v>5</v>
      </c>
      <c r="E642" s="2" t="s">
        <v>6</v>
      </c>
      <c r="F642" s="3" t="s">
        <v>44</v>
      </c>
      <c r="G642" s="3" t="s">
        <v>8</v>
      </c>
      <c r="H642" s="3" t="s">
        <v>9</v>
      </c>
      <c r="I642" s="3" t="s">
        <v>10</v>
      </c>
      <c r="J642" s="4" t="s">
        <v>11</v>
      </c>
      <c r="L642" s="370" t="s">
        <v>48</v>
      </c>
      <c r="O642" s="1" t="s">
        <v>2</v>
      </c>
      <c r="P642" s="2" t="s">
        <v>3</v>
      </c>
      <c r="Q642" s="2" t="s">
        <v>4</v>
      </c>
      <c r="R642" s="2" t="s">
        <v>5</v>
      </c>
      <c r="S642" s="2" t="s">
        <v>6</v>
      </c>
      <c r="T642" s="3" t="s">
        <v>44</v>
      </c>
      <c r="U642" s="3" t="s">
        <v>8</v>
      </c>
      <c r="V642" s="3" t="s">
        <v>9</v>
      </c>
      <c r="W642" s="3" t="s">
        <v>10</v>
      </c>
      <c r="X642" s="4" t="s">
        <v>11</v>
      </c>
    </row>
    <row r="643" spans="1:24" ht="24.95" customHeight="1" thickTop="1" thickBot="1" x14ac:dyDescent="0.3">
      <c r="A643" s="5">
        <v>1</v>
      </c>
      <c r="B643" s="6">
        <v>2</v>
      </c>
      <c r="C643" s="6">
        <v>3</v>
      </c>
      <c r="D643" s="6">
        <v>4</v>
      </c>
      <c r="E643" s="6">
        <v>5</v>
      </c>
      <c r="F643" s="6">
        <v>6</v>
      </c>
      <c r="G643" s="6">
        <v>7</v>
      </c>
      <c r="H643" s="6">
        <v>8</v>
      </c>
      <c r="I643" s="6">
        <v>9</v>
      </c>
      <c r="J643" s="7">
        <v>10</v>
      </c>
      <c r="K643" s="45" t="s">
        <v>4</v>
      </c>
      <c r="L643" s="45" t="s">
        <v>5</v>
      </c>
      <c r="M643" s="45" t="s">
        <v>6</v>
      </c>
      <c r="O643" s="5">
        <v>1</v>
      </c>
      <c r="P643" s="6">
        <v>2</v>
      </c>
      <c r="Q643" s="6">
        <v>3</v>
      </c>
      <c r="R643" s="6">
        <v>4</v>
      </c>
      <c r="S643" s="6">
        <v>5</v>
      </c>
      <c r="T643" s="6">
        <v>6</v>
      </c>
      <c r="U643" s="6">
        <v>7</v>
      </c>
      <c r="V643" s="6">
        <v>8</v>
      </c>
      <c r="W643" s="6">
        <v>9</v>
      </c>
      <c r="X643" s="7">
        <v>10</v>
      </c>
    </row>
    <row r="644" spans="1:24" ht="24.95" customHeight="1" thickTop="1" x14ac:dyDescent="0.2">
      <c r="A644" s="55">
        <v>1</v>
      </c>
      <c r="B644" s="360" t="s">
        <v>82</v>
      </c>
      <c r="C644" s="161">
        <f>6-3</f>
        <v>3</v>
      </c>
      <c r="D644" s="162">
        <f>2+3</f>
        <v>5</v>
      </c>
      <c r="E644" s="162">
        <v>0</v>
      </c>
      <c r="F644" s="162">
        <f>C644</f>
        <v>3</v>
      </c>
      <c r="G644" s="215">
        <f>H644*D644/1000</f>
        <v>0.4</v>
      </c>
      <c r="H644" s="216">
        <v>80</v>
      </c>
      <c r="I644" s="162">
        <v>15</v>
      </c>
      <c r="J644" s="163"/>
      <c r="K644" s="13">
        <f>C644-Q644</f>
        <v>0</v>
      </c>
      <c r="L644" s="13">
        <f>D644-R644</f>
        <v>0</v>
      </c>
      <c r="M644" s="13">
        <f>E644-S644</f>
        <v>0</v>
      </c>
      <c r="O644" s="55">
        <v>1</v>
      </c>
      <c r="P644" s="158" t="s">
        <v>82</v>
      </c>
      <c r="Q644" s="161">
        <f>6-3</f>
        <v>3</v>
      </c>
      <c r="R644" s="162">
        <f>2+3</f>
        <v>5</v>
      </c>
      <c r="S644" s="162">
        <v>0</v>
      </c>
      <c r="T644" s="162">
        <f>Q644</f>
        <v>3</v>
      </c>
      <c r="U644" s="215">
        <f>V644*R644/1000</f>
        <v>0.4</v>
      </c>
      <c r="V644" s="216">
        <v>80</v>
      </c>
      <c r="W644" s="162">
        <v>15</v>
      </c>
      <c r="X644" s="159" t="s">
        <v>12</v>
      </c>
    </row>
    <row r="645" spans="1:24" ht="24.95" customHeight="1" x14ac:dyDescent="0.2">
      <c r="A645" s="56">
        <v>2</v>
      </c>
      <c r="B645" s="51" t="s">
        <v>61</v>
      </c>
      <c r="C645" s="137" t="s">
        <v>12</v>
      </c>
      <c r="D645" s="137" t="s">
        <v>12</v>
      </c>
      <c r="E645" s="137" t="s">
        <v>12</v>
      </c>
      <c r="F645" s="137" t="s">
        <v>12</v>
      </c>
      <c r="G645" s="137" t="s">
        <v>12</v>
      </c>
      <c r="H645" s="137" t="s">
        <v>12</v>
      </c>
      <c r="I645" s="137" t="s">
        <v>12</v>
      </c>
      <c r="J645" s="138" t="s">
        <v>12</v>
      </c>
      <c r="O645" s="56">
        <v>2</v>
      </c>
      <c r="P645" s="51" t="s">
        <v>61</v>
      </c>
      <c r="Q645" s="137" t="s">
        <v>12</v>
      </c>
      <c r="R645" s="137" t="s">
        <v>12</v>
      </c>
      <c r="S645" s="137" t="s">
        <v>12</v>
      </c>
      <c r="T645" s="137" t="s">
        <v>12</v>
      </c>
      <c r="U645" s="137" t="s">
        <v>12</v>
      </c>
      <c r="V645" s="137" t="s">
        <v>12</v>
      </c>
      <c r="W645" s="137" t="s">
        <v>12</v>
      </c>
      <c r="X645" s="138" t="s">
        <v>12</v>
      </c>
    </row>
    <row r="646" spans="1:24" ht="24.95" customHeight="1" x14ac:dyDescent="0.2">
      <c r="A646" s="57">
        <v>3</v>
      </c>
      <c r="B646" s="52" t="s">
        <v>75</v>
      </c>
      <c r="C646" s="137" t="s">
        <v>12</v>
      </c>
      <c r="D646" s="137" t="s">
        <v>12</v>
      </c>
      <c r="E646" s="137" t="s">
        <v>12</v>
      </c>
      <c r="F646" s="137" t="s">
        <v>12</v>
      </c>
      <c r="G646" s="137" t="s">
        <v>12</v>
      </c>
      <c r="H646" s="137" t="s">
        <v>12</v>
      </c>
      <c r="I646" s="137" t="s">
        <v>12</v>
      </c>
      <c r="J646" s="139" t="s">
        <v>12</v>
      </c>
      <c r="O646" s="57">
        <v>3</v>
      </c>
      <c r="P646" s="52" t="s">
        <v>75</v>
      </c>
      <c r="Q646" s="137" t="s">
        <v>12</v>
      </c>
      <c r="R646" s="137" t="s">
        <v>12</v>
      </c>
      <c r="S646" s="137" t="s">
        <v>12</v>
      </c>
      <c r="T646" s="137" t="s">
        <v>12</v>
      </c>
      <c r="U646" s="137" t="s">
        <v>12</v>
      </c>
      <c r="V646" s="137" t="s">
        <v>12</v>
      </c>
      <c r="W646" s="137" t="s">
        <v>12</v>
      </c>
      <c r="X646" s="139" t="s">
        <v>12</v>
      </c>
    </row>
    <row r="647" spans="1:24" ht="24.95" customHeight="1" x14ac:dyDescent="0.2">
      <c r="A647" s="57">
        <v>4</v>
      </c>
      <c r="B647" s="52" t="s">
        <v>68</v>
      </c>
      <c r="C647" s="137" t="s">
        <v>12</v>
      </c>
      <c r="D647" s="137" t="s">
        <v>12</v>
      </c>
      <c r="E647" s="137" t="s">
        <v>12</v>
      </c>
      <c r="F647" s="137" t="s">
        <v>12</v>
      </c>
      <c r="G647" s="137" t="s">
        <v>12</v>
      </c>
      <c r="H647" s="137" t="s">
        <v>12</v>
      </c>
      <c r="I647" s="137" t="s">
        <v>12</v>
      </c>
      <c r="J647" s="138" t="s">
        <v>12</v>
      </c>
      <c r="O647" s="57">
        <v>4</v>
      </c>
      <c r="P647" s="52" t="s">
        <v>68</v>
      </c>
      <c r="Q647" s="137" t="s">
        <v>12</v>
      </c>
      <c r="R647" s="137" t="s">
        <v>12</v>
      </c>
      <c r="S647" s="137" t="s">
        <v>12</v>
      </c>
      <c r="T647" s="137" t="s">
        <v>12</v>
      </c>
      <c r="U647" s="137" t="s">
        <v>12</v>
      </c>
      <c r="V647" s="137" t="s">
        <v>12</v>
      </c>
      <c r="W647" s="137" t="s">
        <v>12</v>
      </c>
      <c r="X647" s="140" t="s">
        <v>12</v>
      </c>
    </row>
    <row r="648" spans="1:24" ht="24.95" customHeight="1" x14ac:dyDescent="0.2">
      <c r="A648" s="57">
        <v>5</v>
      </c>
      <c r="B648" s="53" t="s">
        <v>66</v>
      </c>
      <c r="C648" s="137">
        <v>3</v>
      </c>
      <c r="D648" s="137" t="s">
        <v>12</v>
      </c>
      <c r="E648" s="137" t="s">
        <v>12</v>
      </c>
      <c r="F648" s="137">
        <f>C648</f>
        <v>3</v>
      </c>
      <c r="G648" s="137" t="s">
        <v>12</v>
      </c>
      <c r="H648" s="137">
        <v>80</v>
      </c>
      <c r="I648" s="137">
        <v>7</v>
      </c>
      <c r="J648" s="138" t="s">
        <v>12</v>
      </c>
      <c r="K648" s="13"/>
      <c r="O648" s="57">
        <v>5</v>
      </c>
      <c r="P648" s="53" t="s">
        <v>66</v>
      </c>
      <c r="Q648" s="137">
        <v>3</v>
      </c>
      <c r="R648" s="137" t="s">
        <v>12</v>
      </c>
      <c r="S648" s="137" t="s">
        <v>12</v>
      </c>
      <c r="T648" s="137">
        <f>Q648</f>
        <v>3</v>
      </c>
      <c r="U648" s="137" t="s">
        <v>12</v>
      </c>
      <c r="V648" s="137">
        <v>80</v>
      </c>
      <c r="W648" s="137">
        <v>7</v>
      </c>
      <c r="X648" s="140" t="s">
        <v>12</v>
      </c>
    </row>
    <row r="649" spans="1:24" ht="24.95" customHeight="1" x14ac:dyDescent="0.2">
      <c r="A649" s="57">
        <v>6</v>
      </c>
      <c r="B649" s="52" t="s">
        <v>67</v>
      </c>
      <c r="C649" s="137" t="s">
        <v>12</v>
      </c>
      <c r="D649" s="137" t="s">
        <v>12</v>
      </c>
      <c r="E649" s="137" t="s">
        <v>12</v>
      </c>
      <c r="F649" s="137" t="s">
        <v>12</v>
      </c>
      <c r="G649" s="137" t="s">
        <v>12</v>
      </c>
      <c r="H649" s="137" t="s">
        <v>12</v>
      </c>
      <c r="I649" s="137" t="s">
        <v>12</v>
      </c>
      <c r="J649" s="138" t="s">
        <v>12</v>
      </c>
      <c r="O649" s="57">
        <v>6</v>
      </c>
      <c r="P649" s="52" t="s">
        <v>67</v>
      </c>
      <c r="Q649" s="137" t="s">
        <v>12</v>
      </c>
      <c r="R649" s="137" t="s">
        <v>12</v>
      </c>
      <c r="S649" s="137" t="s">
        <v>12</v>
      </c>
      <c r="T649" s="137" t="s">
        <v>12</v>
      </c>
      <c r="U649" s="137" t="s">
        <v>12</v>
      </c>
      <c r="V649" s="137" t="s">
        <v>12</v>
      </c>
      <c r="W649" s="137" t="s">
        <v>12</v>
      </c>
      <c r="X649" s="140" t="s">
        <v>12</v>
      </c>
    </row>
    <row r="650" spans="1:24" ht="24.95" customHeight="1" x14ac:dyDescent="0.2">
      <c r="A650" s="57">
        <v>7</v>
      </c>
      <c r="B650" s="52" t="s">
        <v>69</v>
      </c>
      <c r="C650" s="137" t="s">
        <v>12</v>
      </c>
      <c r="D650" s="137" t="s">
        <v>12</v>
      </c>
      <c r="E650" s="137" t="s">
        <v>12</v>
      </c>
      <c r="F650" s="137" t="s">
        <v>12</v>
      </c>
      <c r="G650" s="137" t="s">
        <v>12</v>
      </c>
      <c r="H650" s="137" t="s">
        <v>12</v>
      </c>
      <c r="I650" s="137" t="s">
        <v>12</v>
      </c>
      <c r="J650" s="138" t="s">
        <v>12</v>
      </c>
      <c r="O650" s="57">
        <v>7</v>
      </c>
      <c r="P650" s="52" t="s">
        <v>69</v>
      </c>
      <c r="Q650" s="137" t="s">
        <v>12</v>
      </c>
      <c r="R650" s="137" t="s">
        <v>12</v>
      </c>
      <c r="S650" s="137" t="s">
        <v>12</v>
      </c>
      <c r="T650" s="137" t="s">
        <v>12</v>
      </c>
      <c r="U650" s="137" t="s">
        <v>12</v>
      </c>
      <c r="V650" s="137" t="s">
        <v>12</v>
      </c>
      <c r="W650" s="137" t="s">
        <v>12</v>
      </c>
      <c r="X650" s="138" t="s">
        <v>12</v>
      </c>
    </row>
    <row r="651" spans="1:24" ht="24.95" customHeight="1" x14ac:dyDescent="0.2">
      <c r="A651" s="57">
        <v>8</v>
      </c>
      <c r="B651" s="52" t="s">
        <v>70</v>
      </c>
      <c r="C651" s="137" t="s">
        <v>12</v>
      </c>
      <c r="D651" s="137" t="s">
        <v>12</v>
      </c>
      <c r="E651" s="137" t="s">
        <v>12</v>
      </c>
      <c r="F651" s="137" t="s">
        <v>12</v>
      </c>
      <c r="G651" s="137" t="s">
        <v>12</v>
      </c>
      <c r="H651" s="137" t="s">
        <v>12</v>
      </c>
      <c r="I651" s="137" t="s">
        <v>12</v>
      </c>
      <c r="J651" s="138" t="s">
        <v>12</v>
      </c>
      <c r="O651" s="57">
        <v>8</v>
      </c>
      <c r="P651" s="52" t="s">
        <v>70</v>
      </c>
      <c r="Q651" s="137" t="s">
        <v>12</v>
      </c>
      <c r="R651" s="137" t="s">
        <v>12</v>
      </c>
      <c r="S651" s="137" t="s">
        <v>12</v>
      </c>
      <c r="T651" s="137" t="s">
        <v>12</v>
      </c>
      <c r="U651" s="137" t="s">
        <v>12</v>
      </c>
      <c r="V651" s="137" t="s">
        <v>12</v>
      </c>
      <c r="W651" s="137" t="s">
        <v>12</v>
      </c>
      <c r="X651" s="138" t="s">
        <v>12</v>
      </c>
    </row>
    <row r="652" spans="1:24" ht="24.95" customHeight="1" x14ac:dyDescent="0.2">
      <c r="A652" s="57">
        <v>9</v>
      </c>
      <c r="B652" s="52" t="s">
        <v>71</v>
      </c>
      <c r="C652" s="137" t="s">
        <v>12</v>
      </c>
      <c r="D652" s="137" t="s">
        <v>12</v>
      </c>
      <c r="E652" s="137" t="s">
        <v>12</v>
      </c>
      <c r="F652" s="137" t="s">
        <v>12</v>
      </c>
      <c r="G652" s="137" t="s">
        <v>12</v>
      </c>
      <c r="H652" s="137" t="s">
        <v>12</v>
      </c>
      <c r="I652" s="137" t="s">
        <v>12</v>
      </c>
      <c r="J652" s="138" t="s">
        <v>12</v>
      </c>
      <c r="O652" s="57">
        <v>9</v>
      </c>
      <c r="P652" s="52" t="s">
        <v>71</v>
      </c>
      <c r="Q652" s="137" t="s">
        <v>12</v>
      </c>
      <c r="R652" s="137" t="s">
        <v>12</v>
      </c>
      <c r="S652" s="137" t="s">
        <v>12</v>
      </c>
      <c r="T652" s="137" t="s">
        <v>12</v>
      </c>
      <c r="U652" s="137" t="s">
        <v>12</v>
      </c>
      <c r="V652" s="137" t="s">
        <v>12</v>
      </c>
      <c r="W652" s="137" t="s">
        <v>12</v>
      </c>
      <c r="X652" s="138" t="s">
        <v>12</v>
      </c>
    </row>
    <row r="653" spans="1:24" ht="24.95" customHeight="1" x14ac:dyDescent="0.2">
      <c r="A653" s="57">
        <v>10</v>
      </c>
      <c r="B653" s="52" t="s">
        <v>72</v>
      </c>
      <c r="C653" s="137" t="s">
        <v>12</v>
      </c>
      <c r="D653" s="137" t="s">
        <v>12</v>
      </c>
      <c r="E653" s="137" t="s">
        <v>12</v>
      </c>
      <c r="F653" s="137" t="s">
        <v>12</v>
      </c>
      <c r="G653" s="137" t="s">
        <v>12</v>
      </c>
      <c r="H653" s="137" t="s">
        <v>12</v>
      </c>
      <c r="I653" s="137" t="s">
        <v>12</v>
      </c>
      <c r="J653" s="138" t="s">
        <v>12</v>
      </c>
      <c r="O653" s="57">
        <v>10</v>
      </c>
      <c r="P653" s="52" t="s">
        <v>72</v>
      </c>
      <c r="Q653" s="137" t="s">
        <v>12</v>
      </c>
      <c r="R653" s="137" t="s">
        <v>12</v>
      </c>
      <c r="S653" s="137" t="s">
        <v>12</v>
      </c>
      <c r="T653" s="137" t="s">
        <v>12</v>
      </c>
      <c r="U653" s="137" t="s">
        <v>12</v>
      </c>
      <c r="V653" s="137" t="s">
        <v>12</v>
      </c>
      <c r="W653" s="137" t="s">
        <v>12</v>
      </c>
      <c r="X653" s="140" t="s">
        <v>12</v>
      </c>
    </row>
    <row r="654" spans="1:24" ht="24.95" customHeight="1" thickBot="1" x14ac:dyDescent="0.25">
      <c r="A654" s="57">
        <v>11</v>
      </c>
      <c r="B654" s="54" t="s">
        <v>73</v>
      </c>
      <c r="C654" s="137" t="s">
        <v>12</v>
      </c>
      <c r="D654" s="137" t="s">
        <v>12</v>
      </c>
      <c r="E654" s="137" t="s">
        <v>12</v>
      </c>
      <c r="F654" s="137" t="s">
        <v>12</v>
      </c>
      <c r="G654" s="137" t="s">
        <v>12</v>
      </c>
      <c r="H654" s="137" t="s">
        <v>12</v>
      </c>
      <c r="I654" s="137" t="s">
        <v>12</v>
      </c>
      <c r="J654" s="138" t="s">
        <v>12</v>
      </c>
      <c r="O654" s="57">
        <v>11</v>
      </c>
      <c r="P654" s="54" t="s">
        <v>73</v>
      </c>
      <c r="Q654" s="137" t="s">
        <v>12</v>
      </c>
      <c r="R654" s="137" t="s">
        <v>12</v>
      </c>
      <c r="S654" s="137" t="s">
        <v>12</v>
      </c>
      <c r="T654" s="137" t="s">
        <v>12</v>
      </c>
      <c r="U654" s="137" t="s">
        <v>12</v>
      </c>
      <c r="V654" s="137" t="s">
        <v>12</v>
      </c>
      <c r="W654" s="137" t="s">
        <v>12</v>
      </c>
      <c r="X654" s="140" t="s">
        <v>12</v>
      </c>
    </row>
    <row r="655" spans="1:24" ht="24.95" customHeight="1" thickTop="1" thickBot="1" x14ac:dyDescent="0.25">
      <c r="A655" s="454" t="s">
        <v>13</v>
      </c>
      <c r="B655" s="455"/>
      <c r="C655" s="164">
        <f>SUM(C644:C654)</f>
        <v>6</v>
      </c>
      <c r="D655" s="165">
        <f>SUM(D644:D654)</f>
        <v>5</v>
      </c>
      <c r="E655" s="164">
        <f>SUM(E644:E654)</f>
        <v>0</v>
      </c>
      <c r="F655" s="166">
        <f>SUM(F644:F654)</f>
        <v>6</v>
      </c>
      <c r="G655" s="167">
        <f t="shared" ref="G655" si="84">H655/1000*D655</f>
        <v>0.4</v>
      </c>
      <c r="H655" s="165">
        <v>80</v>
      </c>
      <c r="I655" s="168">
        <f>SUM(I644:I654)</f>
        <v>22</v>
      </c>
      <c r="J655" s="169"/>
      <c r="O655" s="454" t="s">
        <v>13</v>
      </c>
      <c r="P655" s="455"/>
      <c r="Q655" s="164">
        <f>SUM(Q644:Q654)</f>
        <v>6</v>
      </c>
      <c r="R655" s="165">
        <f>SUM(R644:R654)</f>
        <v>5</v>
      </c>
      <c r="S655" s="164">
        <f>SUM(S644:S654)</f>
        <v>0</v>
      </c>
      <c r="T655" s="166">
        <f>SUM(T644:T654)</f>
        <v>6</v>
      </c>
      <c r="U655" s="167">
        <f t="shared" ref="U655" si="85">V655/1000*R655</f>
        <v>0.4</v>
      </c>
      <c r="V655" s="165">
        <v>80</v>
      </c>
      <c r="W655" s="168">
        <f>SUM(W644:W654)</f>
        <v>22</v>
      </c>
      <c r="X655" s="67"/>
    </row>
    <row r="656" spans="1:24" ht="24.95" customHeight="1" thickTop="1" x14ac:dyDescent="0.2">
      <c r="C656" s="13">
        <f t="shared" ref="C656:I656" si="86">C655-Q655</f>
        <v>0</v>
      </c>
      <c r="D656" s="13">
        <f t="shared" si="86"/>
        <v>0</v>
      </c>
      <c r="E656" s="13">
        <f t="shared" si="86"/>
        <v>0</v>
      </c>
      <c r="F656" s="13">
        <f t="shared" si="86"/>
        <v>0</v>
      </c>
      <c r="G656" s="13">
        <f t="shared" si="86"/>
        <v>0</v>
      </c>
      <c r="H656" s="13">
        <f t="shared" si="86"/>
        <v>0</v>
      </c>
      <c r="I656" s="13">
        <f t="shared" si="86"/>
        <v>0</v>
      </c>
    </row>
    <row r="657" spans="2:24" ht="24.95" customHeight="1" x14ac:dyDescent="0.2">
      <c r="B657" s="208" t="s">
        <v>4</v>
      </c>
      <c r="C657" s="209" t="s">
        <v>63</v>
      </c>
      <c r="F657" s="21"/>
      <c r="G657" s="45"/>
      <c r="H657">
        <f>G655/D655*1000</f>
        <v>80</v>
      </c>
      <c r="P657" s="38"/>
      <c r="Q657" s="21"/>
      <c r="R657" s="21"/>
      <c r="S657" s="21"/>
      <c r="T657" s="21"/>
      <c r="U657" s="45" t="s">
        <v>112</v>
      </c>
    </row>
    <row r="658" spans="2:24" ht="24.95" customHeight="1" x14ac:dyDescent="0.2">
      <c r="B658" s="208" t="s">
        <v>5</v>
      </c>
      <c r="C658" s="209" t="s">
        <v>64</v>
      </c>
      <c r="G658" s="409"/>
      <c r="H658" s="410"/>
      <c r="I658" s="410"/>
      <c r="J658" s="410"/>
      <c r="U658" s="47" t="s">
        <v>38</v>
      </c>
      <c r="V658" s="46"/>
      <c r="W658" s="46"/>
      <c r="X658" s="46"/>
    </row>
    <row r="659" spans="2:24" ht="24.95" customHeight="1" x14ac:dyDescent="0.2">
      <c r="B659" s="208" t="s">
        <v>6</v>
      </c>
      <c r="C659" s="209" t="s">
        <v>65</v>
      </c>
      <c r="G659" s="45"/>
      <c r="U659" s="45" t="s">
        <v>113</v>
      </c>
    </row>
    <row r="660" spans="2:24" x14ac:dyDescent="0.2">
      <c r="G660" s="409"/>
      <c r="H660" s="409"/>
      <c r="I660" s="409"/>
      <c r="J660" s="409"/>
      <c r="U660" s="409"/>
      <c r="V660" s="409"/>
      <c r="W660" s="409"/>
      <c r="X660" s="409"/>
    </row>
    <row r="661" spans="2:24" x14ac:dyDescent="0.2">
      <c r="G661" s="349"/>
      <c r="H661" s="349"/>
      <c r="I661" s="349"/>
      <c r="J661" s="349"/>
      <c r="U661" s="349"/>
      <c r="V661" s="349"/>
      <c r="W661" s="349"/>
      <c r="X661" s="349"/>
    </row>
    <row r="662" spans="2:24" x14ac:dyDescent="0.2">
      <c r="G662" s="410"/>
      <c r="H662" s="410"/>
      <c r="I662" s="410"/>
      <c r="J662" s="410"/>
      <c r="U662" s="410"/>
      <c r="V662" s="410"/>
      <c r="W662" s="410"/>
      <c r="X662" s="410"/>
    </row>
    <row r="678" spans="1:24" ht="24.95" customHeight="1" x14ac:dyDescent="0.2"/>
    <row r="679" spans="1:24" ht="24.95" customHeight="1" x14ac:dyDescent="0.2"/>
    <row r="680" spans="1:24" ht="24.95" customHeight="1" x14ac:dyDescent="0.2"/>
    <row r="681" spans="1:24" ht="24.95" customHeight="1" x14ac:dyDescent="0.2"/>
    <row r="682" spans="1:24" ht="24.95" customHeight="1" x14ac:dyDescent="0.2"/>
    <row r="683" spans="1:24" ht="24.95" customHeight="1" x14ac:dyDescent="0.2"/>
    <row r="684" spans="1:24" ht="24.95" customHeight="1" x14ac:dyDescent="0.2"/>
    <row r="685" spans="1:24" ht="24.95" customHeight="1" x14ac:dyDescent="0.2">
      <c r="G685" s="349"/>
      <c r="H685" s="349"/>
      <c r="I685" s="349"/>
      <c r="J685" s="349"/>
      <c r="U685" s="349"/>
      <c r="V685" s="349"/>
      <c r="W685" s="349"/>
      <c r="X685" s="349"/>
    </row>
    <row r="686" spans="1:24" ht="24.95" customHeight="1" x14ac:dyDescent="0.3">
      <c r="A686" s="452"/>
      <c r="B686" s="452"/>
      <c r="C686" s="452"/>
      <c r="D686" s="452"/>
      <c r="E686" s="452"/>
      <c r="F686" s="452"/>
      <c r="G686" s="452"/>
      <c r="H686" s="452"/>
      <c r="I686" s="452"/>
      <c r="J686" s="452"/>
      <c r="O686" s="452"/>
      <c r="P686" s="452"/>
      <c r="Q686" s="452"/>
      <c r="R686" s="452"/>
      <c r="S686" s="452"/>
      <c r="T686" s="452"/>
      <c r="U686" s="452"/>
      <c r="V686" s="452"/>
      <c r="W686" s="452"/>
      <c r="X686" s="452"/>
    </row>
    <row r="687" spans="1:24" ht="24.95" customHeight="1" x14ac:dyDescent="0.3">
      <c r="A687" s="452"/>
      <c r="B687" s="452"/>
      <c r="C687" s="452"/>
      <c r="D687" s="452"/>
      <c r="E687" s="452"/>
      <c r="F687" s="452"/>
      <c r="G687" s="452"/>
      <c r="H687" s="452"/>
      <c r="I687" s="452"/>
      <c r="J687" s="452"/>
      <c r="O687" s="452"/>
      <c r="P687" s="452"/>
      <c r="Q687" s="452"/>
      <c r="R687" s="452"/>
      <c r="S687" s="452"/>
      <c r="T687" s="452"/>
      <c r="U687" s="452"/>
      <c r="V687" s="452"/>
      <c r="W687" s="452"/>
      <c r="X687" s="452"/>
    </row>
    <row r="688" spans="1:24" ht="24.95" customHeight="1" x14ac:dyDescent="0.3">
      <c r="A688" s="452"/>
      <c r="B688" s="452"/>
      <c r="C688" s="452"/>
      <c r="D688" s="452"/>
      <c r="E688" s="452"/>
      <c r="F688" s="452"/>
      <c r="G688" s="452"/>
      <c r="H688" s="452"/>
      <c r="I688" s="452"/>
      <c r="J688" s="452"/>
      <c r="O688" s="452"/>
      <c r="P688" s="452"/>
      <c r="Q688" s="452"/>
      <c r="R688" s="452"/>
      <c r="S688" s="452"/>
      <c r="T688" s="452"/>
      <c r="U688" s="452"/>
      <c r="V688" s="452"/>
      <c r="W688" s="452"/>
      <c r="X688" s="452"/>
    </row>
    <row r="689" spans="1:24" ht="24.95" customHeight="1" x14ac:dyDescent="0.3">
      <c r="A689" s="355"/>
      <c r="B689" s="355"/>
      <c r="C689" s="355"/>
      <c r="D689" s="355"/>
      <c r="E689" s="355"/>
      <c r="F689" s="355"/>
      <c r="G689" s="355"/>
      <c r="H689" s="355"/>
      <c r="I689" s="355"/>
      <c r="J689" s="355"/>
      <c r="O689" s="355"/>
      <c r="P689" s="355"/>
      <c r="Q689" s="355"/>
      <c r="R689" s="355"/>
      <c r="S689" s="355"/>
      <c r="T689" s="355"/>
      <c r="U689" s="355"/>
      <c r="V689" s="355"/>
      <c r="W689" s="355"/>
      <c r="X689" s="355"/>
    </row>
    <row r="690" spans="1:24" ht="24.95" customHeight="1" x14ac:dyDescent="0.3">
      <c r="A690" s="355"/>
      <c r="B690" s="355"/>
      <c r="C690" s="355"/>
      <c r="D690" s="355"/>
      <c r="E690" s="355"/>
      <c r="F690" s="355"/>
      <c r="G690" s="355"/>
      <c r="H690" s="355"/>
      <c r="I690" s="355"/>
      <c r="J690" s="355"/>
      <c r="O690" s="355"/>
      <c r="P690" s="355"/>
      <c r="Q690" s="355"/>
      <c r="R690" s="355"/>
      <c r="S690" s="355"/>
      <c r="T690" s="355"/>
      <c r="U690" s="355"/>
      <c r="V690" s="355"/>
      <c r="W690" s="355"/>
      <c r="X690" s="355"/>
    </row>
    <row r="691" spans="1:24" ht="15" customHeight="1" x14ac:dyDescent="0.3">
      <c r="A691" s="355"/>
      <c r="B691" s="355"/>
      <c r="C691" s="355"/>
      <c r="D691" s="355"/>
      <c r="E691" s="355"/>
      <c r="F691" s="355"/>
      <c r="G691" s="355"/>
      <c r="H691" s="355"/>
      <c r="I691" s="355"/>
      <c r="J691" s="355"/>
      <c r="O691" s="355"/>
      <c r="P691" s="355"/>
      <c r="Q691" s="355"/>
      <c r="R691" s="355"/>
      <c r="S691" s="355"/>
      <c r="T691" s="355"/>
      <c r="U691" s="355"/>
      <c r="V691" s="355"/>
      <c r="W691" s="355"/>
      <c r="X691" s="355"/>
    </row>
    <row r="692" spans="1:24" ht="15" customHeight="1" x14ac:dyDescent="0.2"/>
    <row r="694" spans="1:24" x14ac:dyDescent="0.2">
      <c r="A694" s="45"/>
      <c r="E694" s="45"/>
      <c r="O694" s="45"/>
      <c r="S694" s="45"/>
    </row>
    <row r="695" spans="1:24" ht="13.5" thickBot="1" x14ac:dyDescent="0.25"/>
    <row r="696" spans="1:24" ht="14.25" thickTop="1" thickBot="1" x14ac:dyDescent="0.25">
      <c r="A696" s="1"/>
      <c r="B696" s="2"/>
      <c r="C696" s="2"/>
      <c r="D696" s="2"/>
      <c r="E696" s="2"/>
      <c r="F696" s="3"/>
      <c r="G696" s="3"/>
      <c r="H696" s="3"/>
      <c r="I696" s="3"/>
      <c r="J696" s="4"/>
      <c r="L696" s="44"/>
      <c r="O696" s="1"/>
      <c r="P696" s="2"/>
      <c r="Q696" s="2"/>
      <c r="R696" s="2"/>
      <c r="S696" s="2"/>
      <c r="T696" s="3"/>
      <c r="U696" s="3"/>
      <c r="V696" s="3"/>
      <c r="W696" s="3"/>
      <c r="X696" s="4"/>
    </row>
    <row r="697" spans="1:24" ht="16.5" thickTop="1" thickBot="1" x14ac:dyDescent="0.3">
      <c r="A697" s="5"/>
      <c r="B697" s="6"/>
      <c r="C697" s="6"/>
      <c r="D697" s="6"/>
      <c r="E697" s="6"/>
      <c r="F697" s="6"/>
      <c r="G697" s="6"/>
      <c r="H697" s="6"/>
      <c r="I697" s="6"/>
      <c r="J697" s="7"/>
      <c r="O697" s="5"/>
      <c r="P697" s="6"/>
      <c r="Q697" s="6"/>
      <c r="R697" s="6"/>
      <c r="S697" s="6"/>
      <c r="T697" s="6"/>
      <c r="U697" s="6"/>
      <c r="V697" s="6"/>
      <c r="W697" s="6"/>
      <c r="X697" s="7"/>
    </row>
    <row r="698" spans="1:24" ht="13.5" thickTop="1" x14ac:dyDescent="0.2">
      <c r="A698" s="55"/>
      <c r="B698" s="50"/>
      <c r="C698" s="121"/>
      <c r="D698" s="74"/>
      <c r="E698" s="74"/>
      <c r="F698" s="74"/>
      <c r="G698" s="73"/>
      <c r="H698" s="74"/>
      <c r="I698" s="74"/>
      <c r="J698" s="91"/>
      <c r="O698" s="55"/>
      <c r="P698" s="50"/>
      <c r="Q698" s="121"/>
      <c r="R698" s="74"/>
      <c r="S698" s="74"/>
      <c r="T698" s="74"/>
      <c r="U698" s="73"/>
      <c r="V698" s="74"/>
      <c r="W698" s="74"/>
      <c r="X698" s="91"/>
    </row>
    <row r="699" spans="1:24" x14ac:dyDescent="0.2">
      <c r="A699" s="56"/>
      <c r="B699" s="51"/>
      <c r="C699" s="74"/>
      <c r="D699" s="72"/>
      <c r="E699" s="74"/>
      <c r="F699" s="72"/>
      <c r="G699" s="73"/>
      <c r="H699" s="74"/>
      <c r="I699" s="72"/>
      <c r="J699" s="90"/>
      <c r="O699" s="56"/>
      <c r="P699" s="51"/>
      <c r="Q699" s="74"/>
      <c r="R699" s="72"/>
      <c r="S699" s="74"/>
      <c r="T699" s="72"/>
      <c r="U699" s="73"/>
      <c r="V699" s="74"/>
      <c r="W699" s="72"/>
      <c r="X699" s="90"/>
    </row>
    <row r="700" spans="1:24" x14ac:dyDescent="0.2">
      <c r="A700" s="57"/>
      <c r="B700" s="52"/>
      <c r="C700" s="121"/>
      <c r="D700" s="74"/>
      <c r="E700" s="121"/>
      <c r="F700" s="74"/>
      <c r="G700" s="73"/>
      <c r="H700" s="74"/>
      <c r="I700" s="75"/>
      <c r="J700" s="105"/>
      <c r="O700" s="57"/>
      <c r="P700" s="52"/>
      <c r="Q700" s="121"/>
      <c r="R700" s="74"/>
      <c r="S700" s="121"/>
      <c r="T700" s="74"/>
      <c r="U700" s="73"/>
      <c r="V700" s="74"/>
      <c r="W700" s="75"/>
      <c r="X700" s="105"/>
    </row>
    <row r="701" spans="1:24" x14ac:dyDescent="0.2">
      <c r="A701" s="57"/>
      <c r="B701" s="52"/>
      <c r="C701" s="106"/>
      <c r="D701" s="72"/>
      <c r="E701" s="74"/>
      <c r="F701" s="72"/>
      <c r="G701" s="122"/>
      <c r="H701" s="121"/>
      <c r="I701" s="72"/>
      <c r="J701" s="91"/>
      <c r="O701" s="57"/>
      <c r="P701" s="52"/>
      <c r="Q701" s="106"/>
      <c r="R701" s="72"/>
      <c r="S701" s="74"/>
      <c r="T701" s="72"/>
      <c r="U701" s="122"/>
      <c r="V701" s="121"/>
      <c r="W701" s="72"/>
      <c r="X701" s="91"/>
    </row>
    <row r="702" spans="1:24" x14ac:dyDescent="0.2">
      <c r="A702" s="57"/>
      <c r="B702" s="53"/>
      <c r="C702" s="106"/>
      <c r="D702" s="72"/>
      <c r="E702" s="121"/>
      <c r="F702" s="72"/>
      <c r="G702" s="73"/>
      <c r="H702" s="74"/>
      <c r="I702" s="72"/>
      <c r="J702" s="91"/>
      <c r="O702" s="57"/>
      <c r="P702" s="53"/>
      <c r="Q702" s="106"/>
      <c r="R702" s="72"/>
      <c r="S702" s="74"/>
      <c r="T702" s="72"/>
      <c r="U702" s="73"/>
      <c r="V702" s="74"/>
      <c r="W702" s="72"/>
      <c r="X702" s="91"/>
    </row>
    <row r="703" spans="1:24" x14ac:dyDescent="0.2">
      <c r="A703" s="57"/>
      <c r="B703" s="52"/>
      <c r="C703" s="74"/>
      <c r="D703" s="74"/>
      <c r="E703" s="74"/>
      <c r="F703" s="74"/>
      <c r="G703" s="73"/>
      <c r="H703" s="74"/>
      <c r="I703" s="74"/>
      <c r="J703" s="91"/>
      <c r="O703" s="57"/>
      <c r="P703" s="52"/>
      <c r="Q703" s="74"/>
      <c r="R703" s="74"/>
      <c r="S703" s="74"/>
      <c r="T703" s="74"/>
      <c r="U703" s="73"/>
      <c r="V703" s="74"/>
      <c r="W703" s="74"/>
      <c r="X703" s="91"/>
    </row>
    <row r="704" spans="1:24" x14ac:dyDescent="0.2">
      <c r="A704" s="57"/>
      <c r="B704" s="52"/>
      <c r="C704" s="74"/>
      <c r="D704" s="74"/>
      <c r="E704" s="74"/>
      <c r="F704" s="74"/>
      <c r="G704" s="73"/>
      <c r="H704" s="74"/>
      <c r="I704" s="75"/>
      <c r="J704" s="90"/>
      <c r="O704" s="57"/>
      <c r="P704" s="52"/>
      <c r="Q704" s="74"/>
      <c r="R704" s="74"/>
      <c r="S704" s="74"/>
      <c r="T704" s="74"/>
      <c r="U704" s="73"/>
      <c r="V704" s="74"/>
      <c r="W704" s="75"/>
      <c r="X704" s="90"/>
    </row>
    <row r="705" spans="1:24" x14ac:dyDescent="0.2">
      <c r="A705" s="57"/>
      <c r="B705" s="52"/>
      <c r="C705" s="74"/>
      <c r="D705" s="74"/>
      <c r="E705" s="74"/>
      <c r="F705" s="74"/>
      <c r="G705" s="73"/>
      <c r="H705" s="74"/>
      <c r="I705" s="74"/>
      <c r="J705" s="90"/>
      <c r="O705" s="57"/>
      <c r="P705" s="52"/>
      <c r="Q705" s="74"/>
      <c r="R705" s="74"/>
      <c r="S705" s="74"/>
      <c r="T705" s="74"/>
      <c r="U705" s="73"/>
      <c r="V705" s="74"/>
      <c r="W705" s="74"/>
      <c r="X705" s="90"/>
    </row>
    <row r="706" spans="1:24" x14ac:dyDescent="0.2">
      <c r="A706" s="57"/>
      <c r="B706" s="52"/>
      <c r="C706" s="121"/>
      <c r="D706" s="121"/>
      <c r="E706" s="121"/>
      <c r="F706" s="121"/>
      <c r="G706" s="122"/>
      <c r="H706" s="121"/>
      <c r="I706" s="121"/>
      <c r="J706" s="90"/>
      <c r="O706" s="57"/>
      <c r="P706" s="52"/>
      <c r="Q706" s="121"/>
      <c r="R706" s="121"/>
      <c r="S706" s="121"/>
      <c r="T706" s="121"/>
      <c r="U706" s="122"/>
      <c r="V706" s="121"/>
      <c r="W706" s="121"/>
      <c r="X706" s="90"/>
    </row>
    <row r="707" spans="1:24" x14ac:dyDescent="0.2">
      <c r="A707" s="57"/>
      <c r="B707" s="52"/>
      <c r="C707" s="121"/>
      <c r="D707" s="121"/>
      <c r="E707" s="121"/>
      <c r="F707" s="121"/>
      <c r="G707" s="122"/>
      <c r="H707" s="121"/>
      <c r="I707" s="121"/>
      <c r="J707" s="91"/>
      <c r="O707" s="57"/>
      <c r="P707" s="52"/>
      <c r="Q707" s="121"/>
      <c r="R707" s="121"/>
      <c r="S707" s="121"/>
      <c r="T707" s="121"/>
      <c r="U707" s="122"/>
      <c r="V707" s="121"/>
      <c r="W707" s="121"/>
      <c r="X707" s="91"/>
    </row>
    <row r="708" spans="1:24" ht="13.5" thickBot="1" x14ac:dyDescent="0.25">
      <c r="A708" s="57"/>
      <c r="B708" s="54"/>
      <c r="C708" s="121"/>
      <c r="D708" s="121"/>
      <c r="E708" s="121"/>
      <c r="F708" s="121"/>
      <c r="G708" s="122"/>
      <c r="H708" s="121"/>
      <c r="I708" s="121"/>
      <c r="J708" s="91"/>
      <c r="O708" s="57"/>
      <c r="P708" s="54"/>
      <c r="Q708" s="121"/>
      <c r="R708" s="121"/>
      <c r="S708" s="121"/>
      <c r="T708" s="121"/>
      <c r="U708" s="122"/>
      <c r="V708" s="121"/>
      <c r="W708" s="121"/>
      <c r="X708" s="91"/>
    </row>
    <row r="709" spans="1:24" ht="14.25" thickTop="1" thickBot="1" x14ac:dyDescent="0.25">
      <c r="A709" s="454"/>
      <c r="B709" s="455"/>
      <c r="C709" s="16"/>
      <c r="D709" s="68"/>
      <c r="E709" s="16"/>
      <c r="F709" s="41"/>
      <c r="G709" s="107"/>
      <c r="H709" s="10"/>
      <c r="I709" s="69"/>
      <c r="J709" s="67"/>
      <c r="O709" s="454"/>
      <c r="P709" s="455"/>
      <c r="Q709" s="16"/>
      <c r="R709" s="68"/>
      <c r="S709" s="16"/>
      <c r="T709" s="41"/>
      <c r="U709" s="107"/>
      <c r="V709" s="10"/>
      <c r="W709" s="69"/>
      <c r="X709" s="67"/>
    </row>
    <row r="710" spans="1:24" ht="13.5" thickTop="1" x14ac:dyDescent="0.2"/>
    <row r="711" spans="1:24" x14ac:dyDescent="0.2">
      <c r="B711" s="45"/>
      <c r="C711" s="210"/>
      <c r="F711" s="21"/>
      <c r="G711" s="45"/>
      <c r="P711" s="38"/>
      <c r="Q711" s="21"/>
      <c r="R711" s="21"/>
      <c r="S711" s="21"/>
      <c r="T711" s="21"/>
      <c r="U711" s="45"/>
    </row>
    <row r="712" spans="1:24" x14ac:dyDescent="0.2">
      <c r="B712" s="45"/>
      <c r="C712" s="210"/>
      <c r="G712" s="409"/>
      <c r="H712" s="410"/>
      <c r="I712" s="410"/>
      <c r="J712" s="410"/>
      <c r="U712" s="409"/>
      <c r="V712" s="410"/>
      <c r="W712" s="410"/>
      <c r="X712" s="410"/>
    </row>
    <row r="713" spans="1:24" x14ac:dyDescent="0.2">
      <c r="B713" s="45"/>
      <c r="C713" s="210"/>
      <c r="G713" s="45"/>
      <c r="U713" s="45"/>
    </row>
    <row r="714" spans="1:24" x14ac:dyDescent="0.2">
      <c r="G714" s="409"/>
      <c r="H714" s="409"/>
      <c r="I714" s="409"/>
      <c r="J714" s="409"/>
      <c r="U714" s="409"/>
      <c r="V714" s="409"/>
      <c r="W714" s="409"/>
      <c r="X714" s="409"/>
    </row>
    <row r="715" spans="1:24" x14ac:dyDescent="0.2">
      <c r="G715" s="349"/>
      <c r="H715" s="349"/>
      <c r="I715" s="349"/>
      <c r="J715" s="349"/>
      <c r="U715" s="349"/>
      <c r="V715" s="349"/>
      <c r="W715" s="349"/>
      <c r="X715" s="349"/>
    </row>
    <row r="716" spans="1:24" x14ac:dyDescent="0.2">
      <c r="G716" s="410"/>
      <c r="H716" s="410"/>
      <c r="I716" s="410"/>
      <c r="J716" s="410"/>
      <c r="U716" s="410"/>
      <c r="V716" s="410"/>
      <c r="W716" s="410"/>
      <c r="X716" s="410"/>
    </row>
    <row r="732" ht="24.95" customHeight="1" x14ac:dyDescent="0.2"/>
    <row r="733" ht="24.95" customHeight="1" x14ac:dyDescent="0.2"/>
    <row r="734" ht="24.95" customHeight="1" x14ac:dyDescent="0.2"/>
    <row r="735" ht="24.95" customHeight="1" x14ac:dyDescent="0.2"/>
    <row r="736" ht="24.95" customHeight="1" x14ac:dyDescent="0.2"/>
    <row r="737" ht="24.95" customHeight="1" x14ac:dyDescent="0.2"/>
    <row r="738" ht="24.95" customHeight="1" x14ac:dyDescent="0.2"/>
    <row r="739" ht="24.95" customHeight="1" x14ac:dyDescent="0.2"/>
    <row r="740" ht="24.95" customHeight="1" x14ac:dyDescent="0.2"/>
    <row r="741" ht="24.95" customHeight="1" x14ac:dyDescent="0.2"/>
    <row r="742" ht="24.95" customHeight="1" x14ac:dyDescent="0.2"/>
    <row r="743" ht="24.95" customHeight="1" x14ac:dyDescent="0.2"/>
    <row r="744" ht="24.95" customHeight="1" x14ac:dyDescent="0.2"/>
    <row r="745" ht="24.95" customHeight="1" x14ac:dyDescent="0.2"/>
    <row r="786" ht="24.95" customHeight="1" x14ac:dyDescent="0.2"/>
    <row r="787" ht="24.95" customHeight="1" x14ac:dyDescent="0.2"/>
    <row r="788" ht="24.95" customHeight="1" x14ac:dyDescent="0.2"/>
    <row r="789" ht="24.95" customHeight="1" x14ac:dyDescent="0.2"/>
    <row r="790" ht="24.95" customHeight="1" x14ac:dyDescent="0.2"/>
    <row r="791" ht="24.95" customHeight="1" x14ac:dyDescent="0.2"/>
    <row r="792" ht="24.95" customHeight="1" x14ac:dyDescent="0.2"/>
    <row r="793" ht="24.95" customHeight="1" x14ac:dyDescent="0.2"/>
    <row r="794" ht="24.95" customHeight="1" x14ac:dyDescent="0.2"/>
    <row r="795" ht="24.95" customHeight="1" x14ac:dyDescent="0.2"/>
    <row r="796" ht="24.95" customHeight="1" x14ac:dyDescent="0.2"/>
    <row r="797" ht="24.95" customHeight="1" x14ac:dyDescent="0.2"/>
    <row r="798" ht="24.95" customHeight="1" x14ac:dyDescent="0.2"/>
    <row r="799" ht="24.95" customHeight="1" x14ac:dyDescent="0.2"/>
    <row r="800" ht="24.95" customHeight="1" x14ac:dyDescent="0.2"/>
    <row r="801" ht="24.95" customHeight="1" x14ac:dyDescent="0.2"/>
    <row r="802" ht="24.95" customHeight="1" x14ac:dyDescent="0.2"/>
    <row r="837" ht="24.95" customHeight="1" x14ac:dyDescent="0.2"/>
    <row r="838" ht="24.95" customHeight="1" x14ac:dyDescent="0.2"/>
    <row r="839" ht="24.95" customHeight="1" x14ac:dyDescent="0.2"/>
    <row r="840" ht="24.95" customHeight="1" x14ac:dyDescent="0.2"/>
    <row r="841" ht="24.95" customHeight="1" x14ac:dyDescent="0.2"/>
    <row r="842" ht="24.95" customHeight="1" x14ac:dyDescent="0.2"/>
    <row r="843" ht="24.95" customHeight="1" x14ac:dyDescent="0.2"/>
    <row r="844" ht="24.95" customHeight="1" x14ac:dyDescent="0.2"/>
    <row r="845" ht="24.95" customHeight="1" x14ac:dyDescent="0.2"/>
    <row r="846" ht="24.95" customHeight="1" x14ac:dyDescent="0.2"/>
    <row r="847" ht="24.95" customHeight="1" x14ac:dyDescent="0.2"/>
    <row r="848" ht="24.95" customHeight="1" x14ac:dyDescent="0.2"/>
    <row r="849" ht="24.95" customHeight="1" x14ac:dyDescent="0.2"/>
    <row r="850" ht="24.95" customHeight="1" x14ac:dyDescent="0.2"/>
    <row r="851" ht="24.95" customHeight="1" x14ac:dyDescent="0.2"/>
    <row r="852" ht="24.95" customHeight="1" x14ac:dyDescent="0.2"/>
    <row r="889" ht="24.95" customHeight="1" x14ac:dyDescent="0.2"/>
    <row r="890" ht="24.95" customHeight="1" x14ac:dyDescent="0.2"/>
    <row r="891" ht="24.95" customHeight="1" x14ac:dyDescent="0.2"/>
    <row r="892" ht="24.95" customHeight="1" x14ac:dyDescent="0.2"/>
    <row r="893" ht="24.95" customHeight="1" x14ac:dyDescent="0.2"/>
    <row r="894" ht="24.95" customHeight="1" x14ac:dyDescent="0.2"/>
    <row r="895" ht="24.95" customHeight="1" x14ac:dyDescent="0.2"/>
    <row r="896" ht="24.95" customHeight="1" x14ac:dyDescent="0.2"/>
    <row r="897" ht="24.95" customHeight="1" x14ac:dyDescent="0.2"/>
    <row r="898" ht="24.95" customHeight="1" x14ac:dyDescent="0.2"/>
    <row r="899" ht="24.95" customHeight="1" x14ac:dyDescent="0.2"/>
    <row r="900" ht="24.95" customHeight="1" x14ac:dyDescent="0.2"/>
    <row r="901" ht="24.95" customHeight="1" x14ac:dyDescent="0.2"/>
    <row r="902" ht="15" customHeight="1" x14ac:dyDescent="0.2"/>
    <row r="903" ht="15" customHeight="1" x14ac:dyDescent="0.2"/>
    <row r="904" ht="15" customHeight="1" x14ac:dyDescent="0.2"/>
    <row r="944" ht="24.95" customHeight="1" x14ac:dyDescent="0.2"/>
    <row r="945" ht="24.95" customHeight="1" x14ac:dyDescent="0.2"/>
    <row r="946" ht="24.95" customHeight="1" x14ac:dyDescent="0.2"/>
    <row r="947" ht="24.95" customHeight="1" x14ac:dyDescent="0.2"/>
    <row r="949" ht="24.95" customHeight="1" x14ac:dyDescent="0.2"/>
    <row r="950" ht="24.95" customHeight="1" x14ac:dyDescent="0.2"/>
    <row r="951" ht="24.95" customHeight="1" x14ac:dyDescent="0.2"/>
    <row r="952" ht="24.95" customHeight="1" x14ac:dyDescent="0.2"/>
    <row r="953" ht="24.95" customHeight="1" x14ac:dyDescent="0.2"/>
    <row r="954" ht="24.95" customHeight="1" x14ac:dyDescent="0.2"/>
    <row r="955" ht="24.95" customHeight="1" x14ac:dyDescent="0.2"/>
    <row r="956" ht="24.9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98" ht="24.95" customHeight="1" x14ac:dyDescent="0.2"/>
    <row r="999" ht="24.95" customHeight="1" x14ac:dyDescent="0.2"/>
    <row r="1000" ht="24.95" customHeight="1" x14ac:dyDescent="0.2"/>
    <row r="1001" ht="24.95" customHeight="1" x14ac:dyDescent="0.2"/>
    <row r="1003" ht="24.95" customHeight="1" x14ac:dyDescent="0.2"/>
    <row r="1004" ht="24.95" customHeight="1" x14ac:dyDescent="0.2"/>
    <row r="1005" ht="24.95" customHeight="1" x14ac:dyDescent="0.2"/>
    <row r="1006" ht="24.95" customHeight="1" x14ac:dyDescent="0.2"/>
    <row r="1007" ht="24.95" customHeight="1" x14ac:dyDescent="0.2"/>
    <row r="1008" ht="24.95" customHeight="1" x14ac:dyDescent="0.2"/>
    <row r="1009" ht="24.95" customHeight="1" x14ac:dyDescent="0.2"/>
    <row r="1010" ht="24.9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52" ht="24.95" customHeight="1" x14ac:dyDescent="0.2"/>
    <row r="1053" ht="24.95" customHeight="1" x14ac:dyDescent="0.2"/>
    <row r="1054" ht="24.95" customHeight="1" x14ac:dyDescent="0.2"/>
    <row r="1055" ht="24.95" customHeight="1" x14ac:dyDescent="0.2"/>
    <row r="1057" ht="24.95" customHeight="1" x14ac:dyDescent="0.2"/>
    <row r="1058" ht="24.95" customHeight="1" x14ac:dyDescent="0.2"/>
    <row r="1059" ht="24.95" customHeight="1" x14ac:dyDescent="0.2"/>
    <row r="1060" ht="24.95" customHeight="1" x14ac:dyDescent="0.2"/>
    <row r="1061" ht="24.95" customHeight="1" x14ac:dyDescent="0.2"/>
    <row r="1062" ht="24.95" customHeight="1" x14ac:dyDescent="0.2"/>
    <row r="1063" ht="24.95" customHeight="1" x14ac:dyDescent="0.2"/>
    <row r="1064" ht="24.9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24.95" customHeight="1" x14ac:dyDescent="0.2"/>
    <row r="1105" ht="24.95" customHeight="1" x14ac:dyDescent="0.2"/>
    <row r="1106" ht="24.95" customHeight="1" x14ac:dyDescent="0.2"/>
    <row r="1107" ht="24.95" customHeight="1" x14ac:dyDescent="0.2"/>
    <row r="1108" ht="24.95" customHeight="1" x14ac:dyDescent="0.2"/>
    <row r="1110" ht="24.95" customHeight="1" x14ac:dyDescent="0.2"/>
    <row r="1111" ht="24.95" customHeight="1" x14ac:dyDescent="0.2"/>
    <row r="1112" ht="24.95" customHeight="1" x14ac:dyDescent="0.2"/>
    <row r="1113" ht="24.95" customHeight="1" x14ac:dyDescent="0.2"/>
    <row r="1114" ht="24.95" customHeight="1" x14ac:dyDescent="0.2"/>
    <row r="1115" ht="24.95" customHeight="1" x14ac:dyDescent="0.2"/>
    <row r="1116" ht="24.95" customHeight="1" x14ac:dyDescent="0.2"/>
    <row r="1117" ht="24.9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67" ht="24.95" customHeight="1" x14ac:dyDescent="0.2"/>
    <row r="1168" ht="24.95" customHeight="1" x14ac:dyDescent="0.2"/>
    <row r="1169" ht="24.95" customHeight="1" x14ac:dyDescent="0.2"/>
    <row r="1170" ht="24.95" customHeight="1" x14ac:dyDescent="0.2"/>
    <row r="1171" ht="24.95" customHeight="1" x14ac:dyDescent="0.2"/>
    <row r="1172" ht="24.95" customHeight="1" x14ac:dyDescent="0.2"/>
    <row r="1173" ht="24.95" customHeight="1" x14ac:dyDescent="0.2"/>
    <row r="1174" ht="24.95" customHeight="1" x14ac:dyDescent="0.2"/>
    <row r="1175" ht="24.95" customHeight="1" x14ac:dyDescent="0.2"/>
    <row r="1176" ht="24.95" customHeight="1" x14ac:dyDescent="0.2"/>
    <row r="1177" ht="24.95" customHeight="1" x14ac:dyDescent="0.2"/>
    <row r="1178" ht="24.95" customHeight="1" x14ac:dyDescent="0.2"/>
    <row r="1179" ht="24.95" customHeight="1" x14ac:dyDescent="0.2"/>
    <row r="1225" ht="24.95" customHeight="1" x14ac:dyDescent="0.2"/>
    <row r="1226" ht="24.95" customHeight="1" x14ac:dyDescent="0.2"/>
    <row r="1227" ht="24.95" customHeight="1" x14ac:dyDescent="0.2"/>
    <row r="1228" ht="24.95" customHeight="1" x14ac:dyDescent="0.2"/>
    <row r="1229" ht="24.95" customHeight="1" x14ac:dyDescent="0.2"/>
    <row r="1230" ht="24.95" customHeight="1" x14ac:dyDescent="0.2"/>
    <row r="1231" ht="24.95" customHeight="1" x14ac:dyDescent="0.2"/>
    <row r="1232" ht="24.95" customHeight="1" x14ac:dyDescent="0.2"/>
    <row r="1233" ht="24.95" customHeight="1" x14ac:dyDescent="0.2"/>
    <row r="1234" ht="24.95" customHeight="1" x14ac:dyDescent="0.2"/>
    <row r="1235" ht="24.95" customHeight="1" x14ac:dyDescent="0.2"/>
    <row r="1236" ht="24.95" customHeight="1" x14ac:dyDescent="0.2"/>
    <row r="1237" ht="24.95" customHeight="1" x14ac:dyDescent="0.2"/>
    <row r="1281" ht="24.95" customHeight="1" x14ac:dyDescent="0.2"/>
    <row r="1282" ht="24.95" customHeight="1" x14ac:dyDescent="0.2"/>
    <row r="1283" ht="24.95" customHeight="1" x14ac:dyDescent="0.2"/>
    <row r="1284" ht="24.95" customHeight="1" x14ac:dyDescent="0.2"/>
    <row r="1285" ht="24.95" customHeight="1" x14ac:dyDescent="0.2"/>
    <row r="1286" ht="24.95" customHeight="1" x14ac:dyDescent="0.2"/>
    <row r="1287" ht="24.95" customHeight="1" x14ac:dyDescent="0.2"/>
    <row r="1288" ht="24.95" customHeight="1" x14ac:dyDescent="0.2"/>
    <row r="1289" ht="24.95" customHeight="1" x14ac:dyDescent="0.2"/>
    <row r="1290" ht="24.95" customHeight="1" x14ac:dyDescent="0.2"/>
    <row r="1291" ht="24.95" customHeight="1" x14ac:dyDescent="0.2"/>
    <row r="1292" ht="24.95" customHeight="1" x14ac:dyDescent="0.2"/>
    <row r="1293" ht="24.95" customHeight="1" x14ac:dyDescent="0.2"/>
    <row r="1337" ht="24.95" customHeight="1" x14ac:dyDescent="0.2"/>
    <row r="1338" ht="24.95" customHeight="1" x14ac:dyDescent="0.2"/>
    <row r="1339" ht="24.95" customHeight="1" x14ac:dyDescent="0.2"/>
    <row r="1340" ht="24.95" customHeight="1" x14ac:dyDescent="0.2"/>
    <row r="1341" ht="24.95" customHeight="1" x14ac:dyDescent="0.2"/>
    <row r="1342" ht="24.95" customHeight="1" x14ac:dyDescent="0.2"/>
    <row r="1343" ht="24.95" customHeight="1" x14ac:dyDescent="0.2"/>
    <row r="1344" ht="24.95" customHeight="1" x14ac:dyDescent="0.2"/>
    <row r="1345" ht="24.95" customHeight="1" x14ac:dyDescent="0.2"/>
    <row r="1346" ht="24.95" customHeight="1" x14ac:dyDescent="0.2"/>
    <row r="1347" ht="24.95" customHeight="1" x14ac:dyDescent="0.2"/>
    <row r="1348" ht="24.95" customHeight="1" x14ac:dyDescent="0.2"/>
    <row r="1349" ht="24.95" customHeight="1" x14ac:dyDescent="0.2"/>
    <row r="1393" ht="24.95" customHeight="1" x14ac:dyDescent="0.2"/>
    <row r="1394" ht="24.95" customHeight="1" x14ac:dyDescent="0.2"/>
    <row r="1395" ht="24.95" customHeight="1" x14ac:dyDescent="0.2"/>
    <row r="1396" ht="24.95" customHeight="1" x14ac:dyDescent="0.2"/>
    <row r="1397" ht="24.95" customHeight="1" x14ac:dyDescent="0.2"/>
    <row r="1398" ht="24.95" customHeight="1" x14ac:dyDescent="0.2"/>
    <row r="1399" ht="24.95" customHeight="1" x14ac:dyDescent="0.2"/>
    <row r="1400" ht="24.95" customHeight="1" x14ac:dyDescent="0.2"/>
    <row r="1401" ht="24.95" customHeight="1" x14ac:dyDescent="0.2"/>
    <row r="1402" ht="24.95" customHeight="1" x14ac:dyDescent="0.2"/>
    <row r="1403" ht="24.95" customHeight="1" x14ac:dyDescent="0.2"/>
    <row r="1404" ht="24.95" customHeight="1" x14ac:dyDescent="0.2"/>
    <row r="1405" ht="24.95" customHeight="1" x14ac:dyDescent="0.2"/>
    <row r="1449" ht="24.95" customHeight="1" x14ac:dyDescent="0.2"/>
    <row r="1450" ht="24.95" customHeight="1" x14ac:dyDescent="0.2"/>
    <row r="1451" ht="24.95" customHeight="1" x14ac:dyDescent="0.2"/>
    <row r="1452" ht="24.95" customHeight="1" x14ac:dyDescent="0.2"/>
    <row r="1453" ht="24.95" customHeight="1" x14ac:dyDescent="0.2"/>
    <row r="1454" ht="24.95" customHeight="1" x14ac:dyDescent="0.2"/>
    <row r="1455" ht="24.95" customHeight="1" x14ac:dyDescent="0.2"/>
    <row r="1456" ht="24.95" customHeight="1" x14ac:dyDescent="0.2"/>
    <row r="1457" ht="24.95" customHeight="1" x14ac:dyDescent="0.2"/>
    <row r="1458" ht="24.95" customHeight="1" x14ac:dyDescent="0.2"/>
    <row r="1459" ht="24.95" customHeight="1" x14ac:dyDescent="0.2"/>
    <row r="1460" ht="24.95" customHeight="1" x14ac:dyDescent="0.2"/>
    <row r="1461" ht="24.95" customHeight="1" x14ac:dyDescent="0.2"/>
    <row r="1506" ht="24.95" customHeight="1" x14ac:dyDescent="0.2"/>
    <row r="1507" ht="24.95" customHeight="1" x14ac:dyDescent="0.2"/>
    <row r="1508" ht="24.95" customHeight="1" x14ac:dyDescent="0.2"/>
    <row r="1509" ht="24.95" customHeight="1" x14ac:dyDescent="0.2"/>
    <row r="1510" ht="24.95" customHeight="1" x14ac:dyDescent="0.2"/>
    <row r="1511" ht="24.95" customHeight="1" x14ac:dyDescent="0.2"/>
    <row r="1512" ht="24.95" customHeight="1" x14ac:dyDescent="0.2"/>
    <row r="1513" ht="24.95" customHeight="1" x14ac:dyDescent="0.2"/>
    <row r="1514" ht="24.95" customHeight="1" x14ac:dyDescent="0.2"/>
    <row r="1515" ht="24.95" customHeight="1" x14ac:dyDescent="0.2"/>
    <row r="1516" ht="24.95" customHeight="1" x14ac:dyDescent="0.2"/>
    <row r="1517" ht="24.95" customHeight="1" x14ac:dyDescent="0.2"/>
    <row r="1518" ht="24.95" customHeight="1" x14ac:dyDescent="0.2"/>
    <row r="1519" ht="24.95" customHeight="1" x14ac:dyDescent="0.2"/>
    <row r="1520" ht="24.95" customHeight="1" x14ac:dyDescent="0.2"/>
    <row r="1521" ht="24.95" customHeight="1" x14ac:dyDescent="0.2"/>
    <row r="1522" ht="24.95" customHeight="1" x14ac:dyDescent="0.2"/>
    <row r="1558" ht="24.95" customHeight="1" x14ac:dyDescent="0.2"/>
    <row r="1559" ht="24.95" customHeight="1" x14ac:dyDescent="0.2"/>
    <row r="1560" ht="24.95" customHeight="1" x14ac:dyDescent="0.2"/>
    <row r="1561" ht="24.95" customHeight="1" x14ac:dyDescent="0.2"/>
    <row r="1562" ht="24.95" customHeight="1" x14ac:dyDescent="0.2"/>
    <row r="1563" ht="24.95" customHeight="1" x14ac:dyDescent="0.2"/>
    <row r="1564" ht="24.95" customHeight="1" x14ac:dyDescent="0.2"/>
    <row r="1565" ht="24.95" customHeight="1" x14ac:dyDescent="0.2"/>
    <row r="1566" ht="24.95" customHeight="1" x14ac:dyDescent="0.2"/>
    <row r="1567" ht="24.95" customHeight="1" x14ac:dyDescent="0.2"/>
    <row r="1568" ht="24.95" customHeight="1" x14ac:dyDescent="0.2"/>
    <row r="1569" ht="24.95" customHeight="1" x14ac:dyDescent="0.2"/>
    <row r="1570" ht="24.95" customHeight="1" x14ac:dyDescent="0.2"/>
    <row r="1571" ht="24.95" customHeight="1" x14ac:dyDescent="0.2"/>
    <row r="1614" ht="24.95" customHeight="1" x14ac:dyDescent="0.2"/>
    <row r="1615" ht="24.95" customHeight="1" x14ac:dyDescent="0.2"/>
    <row r="1616" ht="24.95" customHeight="1" x14ac:dyDescent="0.2"/>
    <row r="1617" ht="24.95" customHeight="1" x14ac:dyDescent="0.2"/>
    <row r="1618" ht="24.95" customHeight="1" x14ac:dyDescent="0.2"/>
    <row r="1619" ht="24.95" customHeight="1" x14ac:dyDescent="0.2"/>
    <row r="1620" ht="24.95" customHeight="1" x14ac:dyDescent="0.2"/>
    <row r="1621" ht="24.95" customHeight="1" x14ac:dyDescent="0.2"/>
    <row r="1622" ht="24.95" customHeight="1" x14ac:dyDescent="0.2"/>
    <row r="1623" ht="24.95" customHeight="1" x14ac:dyDescent="0.2"/>
    <row r="1624" ht="24.95" customHeight="1" x14ac:dyDescent="0.2"/>
    <row r="1625" ht="24.95" customHeight="1" x14ac:dyDescent="0.2"/>
    <row r="1626" ht="24.95" customHeight="1" x14ac:dyDescent="0.2"/>
    <row r="1627" ht="24.95" customHeight="1" x14ac:dyDescent="0.2"/>
    <row r="1671" ht="24.95" customHeight="1" x14ac:dyDescent="0.2"/>
    <row r="1672" ht="24.95" customHeight="1" x14ac:dyDescent="0.2"/>
    <row r="1673" ht="24.95" customHeight="1" x14ac:dyDescent="0.2"/>
    <row r="1674" ht="24.95" customHeight="1" x14ac:dyDescent="0.2"/>
    <row r="1675" ht="24.95" customHeight="1" x14ac:dyDescent="0.2"/>
    <row r="1676" ht="24.95" customHeight="1" x14ac:dyDescent="0.2"/>
    <row r="1677" ht="24.95" customHeight="1" x14ac:dyDescent="0.2"/>
    <row r="1678" ht="24.95" customHeight="1" x14ac:dyDescent="0.2"/>
    <row r="1679" ht="24.95" customHeight="1" x14ac:dyDescent="0.2"/>
    <row r="1680" ht="24.95" customHeight="1" x14ac:dyDescent="0.2"/>
    <row r="1681" ht="24.95" customHeight="1" x14ac:dyDescent="0.2"/>
    <row r="1682" ht="24.95" customHeight="1" x14ac:dyDescent="0.2"/>
    <row r="1683" ht="24.95" customHeight="1" x14ac:dyDescent="0.2"/>
    <row r="1727" ht="24.95" customHeight="1" x14ac:dyDescent="0.2"/>
    <row r="1728" ht="24.95" customHeight="1" x14ac:dyDescent="0.2"/>
    <row r="1729" ht="24.95" customHeight="1" x14ac:dyDescent="0.2"/>
    <row r="1730" ht="24.95" customHeight="1" x14ac:dyDescent="0.2"/>
    <row r="1731" ht="24.95" customHeight="1" x14ac:dyDescent="0.2"/>
    <row r="1732" ht="24.95" customHeight="1" x14ac:dyDescent="0.2"/>
    <row r="1733" ht="24.95" customHeight="1" x14ac:dyDescent="0.2"/>
    <row r="1734" ht="24.95" customHeight="1" x14ac:dyDescent="0.2"/>
    <row r="1735" ht="24.95" customHeight="1" x14ac:dyDescent="0.2"/>
    <row r="1736" ht="24.95" customHeight="1" x14ac:dyDescent="0.2"/>
    <row r="1737" ht="24.95" customHeight="1" x14ac:dyDescent="0.2"/>
    <row r="1738" ht="24.95" customHeight="1" x14ac:dyDescent="0.2"/>
    <row r="1739" ht="24.95" customHeight="1" x14ac:dyDescent="0.2"/>
    <row r="1783" ht="24.95" customHeight="1" x14ac:dyDescent="0.2"/>
    <row r="1784" ht="24.95" customHeight="1" x14ac:dyDescent="0.2"/>
    <row r="1785" ht="24.95" customHeight="1" x14ac:dyDescent="0.2"/>
    <row r="1786" ht="24.95" customHeight="1" x14ac:dyDescent="0.2"/>
    <row r="1787" ht="24.95" customHeight="1" x14ac:dyDescent="0.2"/>
    <row r="1788" ht="24.95" customHeight="1" x14ac:dyDescent="0.2"/>
    <row r="1789" ht="24.95" customHeight="1" x14ac:dyDescent="0.2"/>
    <row r="1790" ht="24.95" customHeight="1" x14ac:dyDescent="0.2"/>
    <row r="1791" ht="24.95" customHeight="1" x14ac:dyDescent="0.2"/>
    <row r="1792" ht="24.95" customHeight="1" x14ac:dyDescent="0.2"/>
    <row r="1793" ht="24.95" customHeight="1" x14ac:dyDescent="0.2"/>
    <row r="1794" ht="24.95" customHeight="1" x14ac:dyDescent="0.2"/>
    <row r="1795" ht="24.95" customHeight="1" x14ac:dyDescent="0.2"/>
    <row r="1840" ht="24.95" customHeight="1" x14ac:dyDescent="0.2"/>
    <row r="1841" ht="24.95" customHeight="1" x14ac:dyDescent="0.2"/>
    <row r="1842" ht="24.95" customHeight="1" x14ac:dyDescent="0.2"/>
    <row r="1843" ht="24.95" customHeight="1" x14ac:dyDescent="0.2"/>
    <row r="1844" ht="24.95" customHeight="1" x14ac:dyDescent="0.2"/>
    <row r="1845" ht="24.95" customHeight="1" x14ac:dyDescent="0.2"/>
    <row r="1846" ht="24.95" customHeight="1" x14ac:dyDescent="0.2"/>
    <row r="1847" ht="24.95" customHeight="1" x14ac:dyDescent="0.2"/>
    <row r="1848" ht="24.95" customHeight="1" x14ac:dyDescent="0.2"/>
    <row r="1849" ht="24.95" customHeight="1" x14ac:dyDescent="0.2"/>
    <row r="1850" ht="24.95" customHeight="1" x14ac:dyDescent="0.2"/>
    <row r="1851" ht="24.95" customHeight="1" x14ac:dyDescent="0.2"/>
    <row r="1852" ht="24.95" customHeight="1" x14ac:dyDescent="0.2"/>
    <row r="1896" ht="24.95" customHeight="1" x14ac:dyDescent="0.2"/>
    <row r="1897" ht="24.95" customHeight="1" x14ac:dyDescent="0.2"/>
    <row r="1898" ht="24.95" customHeight="1" x14ac:dyDescent="0.2"/>
    <row r="1899" ht="24.95" customHeight="1" x14ac:dyDescent="0.2"/>
    <row r="1900" ht="24.95" customHeight="1" x14ac:dyDescent="0.2"/>
    <row r="1901" ht="24.95" customHeight="1" x14ac:dyDescent="0.2"/>
    <row r="1902" ht="24.95" customHeight="1" x14ac:dyDescent="0.2"/>
    <row r="1903" ht="24.95" customHeight="1" x14ac:dyDescent="0.2"/>
    <row r="1904" ht="24.95" customHeight="1" x14ac:dyDescent="0.2"/>
    <row r="1905" ht="24.95" customHeight="1" x14ac:dyDescent="0.2"/>
    <row r="1906" ht="24.95" customHeight="1" x14ac:dyDescent="0.2"/>
    <row r="1907" ht="24.95" customHeight="1" x14ac:dyDescent="0.2"/>
    <row r="1908" ht="24.95" customHeight="1" x14ac:dyDescent="0.2"/>
  </sheetData>
  <mergeCells count="301">
    <mergeCell ref="O424:P424"/>
    <mergeCell ref="O461:P461"/>
    <mergeCell ref="U466:X466"/>
    <mergeCell ref="U467:X467"/>
    <mergeCell ref="U429:X429"/>
    <mergeCell ref="U431:X431"/>
    <mergeCell ref="U432:X432"/>
    <mergeCell ref="U435:X435"/>
    <mergeCell ref="U436:X436"/>
    <mergeCell ref="O442:X442"/>
    <mergeCell ref="O443:X443"/>
    <mergeCell ref="O444:X444"/>
    <mergeCell ref="U387:X387"/>
    <mergeCell ref="U389:X389"/>
    <mergeCell ref="U390:X390"/>
    <mergeCell ref="U393:X393"/>
    <mergeCell ref="U394:X394"/>
    <mergeCell ref="U395:X395"/>
    <mergeCell ref="O405:X405"/>
    <mergeCell ref="O406:X406"/>
    <mergeCell ref="O407:X407"/>
    <mergeCell ref="U343:X343"/>
    <mergeCell ref="U344:X344"/>
    <mergeCell ref="U347:X347"/>
    <mergeCell ref="U348:X348"/>
    <mergeCell ref="U349:X349"/>
    <mergeCell ref="O362:X362"/>
    <mergeCell ref="O363:X363"/>
    <mergeCell ref="O364:X364"/>
    <mergeCell ref="O381:P381"/>
    <mergeCell ref="U299:X299"/>
    <mergeCell ref="U302:X302"/>
    <mergeCell ref="U303:X303"/>
    <mergeCell ref="U304:X304"/>
    <mergeCell ref="O317:X317"/>
    <mergeCell ref="O318:X318"/>
    <mergeCell ref="O319:X319"/>
    <mergeCell ref="O336:P336"/>
    <mergeCell ref="U341:X341"/>
    <mergeCell ref="U257:X257"/>
    <mergeCell ref="U258:X258"/>
    <mergeCell ref="O272:X272"/>
    <mergeCell ref="O273:X273"/>
    <mergeCell ref="O274:X274"/>
    <mergeCell ref="O291:P291"/>
    <mergeCell ref="U294:X294"/>
    <mergeCell ref="U296:X296"/>
    <mergeCell ref="U298:X298"/>
    <mergeCell ref="U211:X211"/>
    <mergeCell ref="O226:X226"/>
    <mergeCell ref="O227:X227"/>
    <mergeCell ref="O228:X228"/>
    <mergeCell ref="O245:P245"/>
    <mergeCell ref="U250:X250"/>
    <mergeCell ref="U252:X252"/>
    <mergeCell ref="U253:X253"/>
    <mergeCell ref="U256:X256"/>
    <mergeCell ref="O178:X178"/>
    <mergeCell ref="O179:X179"/>
    <mergeCell ref="O180:X180"/>
    <mergeCell ref="O198:P198"/>
    <mergeCell ref="U203:X203"/>
    <mergeCell ref="U205:X205"/>
    <mergeCell ref="U206:X206"/>
    <mergeCell ref="U209:X209"/>
    <mergeCell ref="U210:X210"/>
    <mergeCell ref="O132:X132"/>
    <mergeCell ref="O133:X133"/>
    <mergeCell ref="O151:P151"/>
    <mergeCell ref="U156:X156"/>
    <mergeCell ref="U158:X158"/>
    <mergeCell ref="U159:X159"/>
    <mergeCell ref="U162:X162"/>
    <mergeCell ref="U163:X163"/>
    <mergeCell ref="U164:X164"/>
    <mergeCell ref="O89:X89"/>
    <mergeCell ref="O106:P106"/>
    <mergeCell ref="U111:X111"/>
    <mergeCell ref="U113:X113"/>
    <mergeCell ref="U114:X114"/>
    <mergeCell ref="U117:X117"/>
    <mergeCell ref="U118:X118"/>
    <mergeCell ref="U119:X119"/>
    <mergeCell ref="O131:X131"/>
    <mergeCell ref="O2:X2"/>
    <mergeCell ref="O3:X3"/>
    <mergeCell ref="O4:X4"/>
    <mergeCell ref="O21:P21"/>
    <mergeCell ref="U29:X29"/>
    <mergeCell ref="U30:X30"/>
    <mergeCell ref="U33:X33"/>
    <mergeCell ref="G72:J72"/>
    <mergeCell ref="G109:J109"/>
    <mergeCell ref="G27:J27"/>
    <mergeCell ref="U34:X34"/>
    <mergeCell ref="U35:X35"/>
    <mergeCell ref="O49:X49"/>
    <mergeCell ref="O50:X50"/>
    <mergeCell ref="O51:X51"/>
    <mergeCell ref="O68:P68"/>
    <mergeCell ref="U74:X74"/>
    <mergeCell ref="U76:X76"/>
    <mergeCell ref="U77:X77"/>
    <mergeCell ref="U80:X80"/>
    <mergeCell ref="U81:X81"/>
    <mergeCell ref="U82:X82"/>
    <mergeCell ref="O87:X87"/>
    <mergeCell ref="O88:X88"/>
    <mergeCell ref="G74:J74"/>
    <mergeCell ref="G76:J76"/>
    <mergeCell ref="G77:J77"/>
    <mergeCell ref="G80:J80"/>
    <mergeCell ref="G81:J81"/>
    <mergeCell ref="G349:J349"/>
    <mergeCell ref="A362:J362"/>
    <mergeCell ref="A363:J363"/>
    <mergeCell ref="A364:J364"/>
    <mergeCell ref="G258:J258"/>
    <mergeCell ref="A272:J272"/>
    <mergeCell ref="A273:J273"/>
    <mergeCell ref="A274:J274"/>
    <mergeCell ref="G296:J296"/>
    <mergeCell ref="G298:J298"/>
    <mergeCell ref="G299:J299"/>
    <mergeCell ref="A106:B106"/>
    <mergeCell ref="A151:B151"/>
    <mergeCell ref="A198:B198"/>
    <mergeCell ref="A245:B245"/>
    <mergeCell ref="A227:J227"/>
    <mergeCell ref="G348:J348"/>
    <mergeCell ref="A336:B336"/>
    <mergeCell ref="G82:J82"/>
    <mergeCell ref="A2:J2"/>
    <mergeCell ref="A3:J3"/>
    <mergeCell ref="A4:J4"/>
    <mergeCell ref="A21:B21"/>
    <mergeCell ref="G35:J35"/>
    <mergeCell ref="A49:J49"/>
    <mergeCell ref="A50:J50"/>
    <mergeCell ref="A51:J51"/>
    <mergeCell ref="A68:B68"/>
    <mergeCell ref="G34:J34"/>
    <mergeCell ref="G33:J33"/>
    <mergeCell ref="G29:J29"/>
    <mergeCell ref="G23:J23"/>
    <mergeCell ref="G24:J24"/>
    <mergeCell ref="G25:J25"/>
    <mergeCell ref="G28:J28"/>
    <mergeCell ref="B29:E29"/>
    <mergeCell ref="G32:J32"/>
    <mergeCell ref="A407:J407"/>
    <mergeCell ref="G429:J429"/>
    <mergeCell ref="G431:J431"/>
    <mergeCell ref="G164:J164"/>
    <mergeCell ref="A178:J178"/>
    <mergeCell ref="A179:J179"/>
    <mergeCell ref="A180:J180"/>
    <mergeCell ref="G203:J203"/>
    <mergeCell ref="G205:J205"/>
    <mergeCell ref="G206:J206"/>
    <mergeCell ref="G209:J209"/>
    <mergeCell ref="G210:J210"/>
    <mergeCell ref="G248:J248"/>
    <mergeCell ref="G294:J294"/>
    <mergeCell ref="G339:J339"/>
    <mergeCell ref="G384:J384"/>
    <mergeCell ref="A228:J228"/>
    <mergeCell ref="G250:J250"/>
    <mergeCell ref="G252:J252"/>
    <mergeCell ref="G253:J253"/>
    <mergeCell ref="G256:J256"/>
    <mergeCell ref="G257:J257"/>
    <mergeCell ref="G387:J387"/>
    <mergeCell ref="G389:J389"/>
    <mergeCell ref="G471:J471"/>
    <mergeCell ref="G472:J472"/>
    <mergeCell ref="A442:J442"/>
    <mergeCell ref="A443:J443"/>
    <mergeCell ref="A444:J444"/>
    <mergeCell ref="G464:J464"/>
    <mergeCell ref="G466:J466"/>
    <mergeCell ref="G467:J467"/>
    <mergeCell ref="G470:J470"/>
    <mergeCell ref="A461:B461"/>
    <mergeCell ref="AG467:AJ467"/>
    <mergeCell ref="G302:J302"/>
    <mergeCell ref="G303:J303"/>
    <mergeCell ref="A291:B291"/>
    <mergeCell ref="G390:J390"/>
    <mergeCell ref="G393:J393"/>
    <mergeCell ref="G394:J394"/>
    <mergeCell ref="A381:B381"/>
    <mergeCell ref="G304:J304"/>
    <mergeCell ref="A317:J317"/>
    <mergeCell ref="A318:J318"/>
    <mergeCell ref="A319:J319"/>
    <mergeCell ref="G341:J341"/>
    <mergeCell ref="G343:J343"/>
    <mergeCell ref="G344:J344"/>
    <mergeCell ref="G347:J347"/>
    <mergeCell ref="G432:J432"/>
    <mergeCell ref="G435:J435"/>
    <mergeCell ref="G436:J436"/>
    <mergeCell ref="A424:B424"/>
    <mergeCell ref="G427:J427"/>
    <mergeCell ref="G395:J395"/>
    <mergeCell ref="A405:J405"/>
    <mergeCell ref="A406:J406"/>
    <mergeCell ref="A87:J87"/>
    <mergeCell ref="A88:J88"/>
    <mergeCell ref="A89:J89"/>
    <mergeCell ref="G111:J111"/>
    <mergeCell ref="G113:J113"/>
    <mergeCell ref="G114:J114"/>
    <mergeCell ref="G117:J117"/>
    <mergeCell ref="G118:J118"/>
    <mergeCell ref="G211:J211"/>
    <mergeCell ref="A226:J226"/>
    <mergeCell ref="G119:J119"/>
    <mergeCell ref="A131:J131"/>
    <mergeCell ref="A132:J132"/>
    <mergeCell ref="A133:J133"/>
    <mergeCell ref="G156:J156"/>
    <mergeCell ref="G158:J158"/>
    <mergeCell ref="G159:J159"/>
    <mergeCell ref="G162:J162"/>
    <mergeCell ref="G163:J163"/>
    <mergeCell ref="G201:J201"/>
    <mergeCell ref="A480:J480"/>
    <mergeCell ref="O480:X480"/>
    <mergeCell ref="A481:J481"/>
    <mergeCell ref="O481:X481"/>
    <mergeCell ref="A482:J482"/>
    <mergeCell ref="O482:X482"/>
    <mergeCell ref="A499:B499"/>
    <mergeCell ref="O499:P499"/>
    <mergeCell ref="G502:J502"/>
    <mergeCell ref="G504:J504"/>
    <mergeCell ref="U504:X504"/>
    <mergeCell ref="G506:J506"/>
    <mergeCell ref="U506:X506"/>
    <mergeCell ref="A636:J636"/>
    <mergeCell ref="O636:X636"/>
    <mergeCell ref="A637:J637"/>
    <mergeCell ref="O637:X637"/>
    <mergeCell ref="A638:J638"/>
    <mergeCell ref="O638:X638"/>
    <mergeCell ref="A525:J525"/>
    <mergeCell ref="O525:X525"/>
    <mergeCell ref="A526:J526"/>
    <mergeCell ref="O526:X526"/>
    <mergeCell ref="G586:J586"/>
    <mergeCell ref="U586:X586"/>
    <mergeCell ref="A599:J599"/>
    <mergeCell ref="O599:X599"/>
    <mergeCell ref="A600:J600"/>
    <mergeCell ref="O600:X600"/>
    <mergeCell ref="A601:J601"/>
    <mergeCell ref="O601:X601"/>
    <mergeCell ref="G625:J625"/>
    <mergeCell ref="U625:X625"/>
    <mergeCell ref="A655:B655"/>
    <mergeCell ref="O655:P655"/>
    <mergeCell ref="G658:J658"/>
    <mergeCell ref="G660:J660"/>
    <mergeCell ref="U660:X660"/>
    <mergeCell ref="G662:J662"/>
    <mergeCell ref="U662:X662"/>
    <mergeCell ref="A686:J686"/>
    <mergeCell ref="O686:X686"/>
    <mergeCell ref="G716:J716"/>
    <mergeCell ref="U716:X716"/>
    <mergeCell ref="A687:J687"/>
    <mergeCell ref="O687:X687"/>
    <mergeCell ref="A688:J688"/>
    <mergeCell ref="O688:X688"/>
    <mergeCell ref="A709:B709"/>
    <mergeCell ref="O709:P709"/>
    <mergeCell ref="G712:J712"/>
    <mergeCell ref="U712:X712"/>
    <mergeCell ref="G714:J714"/>
    <mergeCell ref="U714:X714"/>
    <mergeCell ref="A620:B620"/>
    <mergeCell ref="O620:P620"/>
    <mergeCell ref="G623:J623"/>
    <mergeCell ref="A527:J527"/>
    <mergeCell ref="O527:X527"/>
    <mergeCell ref="A544:B544"/>
    <mergeCell ref="O544:P544"/>
    <mergeCell ref="G547:J547"/>
    <mergeCell ref="G549:J549"/>
    <mergeCell ref="U549:X549"/>
    <mergeCell ref="A562:J562"/>
    <mergeCell ref="O562:X562"/>
    <mergeCell ref="A563:J563"/>
    <mergeCell ref="O563:X563"/>
    <mergeCell ref="A564:J564"/>
    <mergeCell ref="O564:X564"/>
    <mergeCell ref="A581:B581"/>
    <mergeCell ref="O581:P581"/>
    <mergeCell ref="G584:J584"/>
  </mergeCells>
  <pageMargins left="0.31496062992125984" right="0.27559055118110237" top="0.59055118110236227" bottom="0.78740157480314965" header="0.51181102362204722" footer="0.51181102362204722"/>
  <pageSetup paperSize="5" scale="90" orientation="portrait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rekap ATAP 2021</vt:lpstr>
      <vt:lpstr>   Per.Kec  2021</vt:lpstr>
      <vt:lpstr> kom 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HP</cp:lastModifiedBy>
  <cp:lastPrinted>2022-02-22T03:27:22Z</cp:lastPrinted>
  <dcterms:created xsi:type="dcterms:W3CDTF">2013-03-01T04:03:53Z</dcterms:created>
  <dcterms:modified xsi:type="dcterms:W3CDTF">2022-11-25T07:54:51Z</dcterms:modified>
</cp:coreProperties>
</file>